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3395" windowHeight="6585" tabRatio="866" firstSheet="4" activeTab="5"/>
  </bookViews>
  <sheets>
    <sheet name="IFRS报表打印" sheetId="1" state="hidden" r:id="rId1"/>
    <sheet name="Sheet1" sheetId="2" state="hidden" r:id="rId2"/>
    <sheet name="KPI" sheetId="3" state="hidden" r:id="rId3"/>
    <sheet name="P&amp;L简表" sheetId="4" state="hidden" r:id="rId4"/>
    <sheet name="资产负债表&amp;利润表-1112" sheetId="5" r:id="rId5"/>
    <sheet name="现金流量表(间接法)-1112" sheetId="6" r:id="rId6"/>
    <sheet name="现金流量表-DHS" sheetId="7" state="hidden" r:id="rId7"/>
    <sheet name="存货大类账龄" sheetId="8" state="hidden" r:id="rId8"/>
    <sheet name="收入成本明细表PRC" sheetId="9" state="hidden" r:id="rId9"/>
    <sheet name="收入分公司" sheetId="10" state="hidden" r:id="rId10"/>
    <sheet name="营业税金及附加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4BS1_" localSheetId="5" hidden="1">{#N/A,#N/A,FALSE,"BBPREP"}</definedName>
    <definedName name="_4BS1_" localSheetId="4" hidden="1">{#N/A,#N/A,FALSE,"BBPREP"}</definedName>
    <definedName name="_4BS1_" hidden="1">{#N/A,#N/A,FALSE,"BBPREP"}</definedName>
    <definedName name="A" localSheetId="3" hidden="1">{#N/A,#N/A,FALSE,"BBPREP"}</definedName>
    <definedName name="a" localSheetId="5" hidden="1">{#N/A,#N/A,FALSE,"BBPREP"}</definedName>
    <definedName name="a" localSheetId="4" hidden="1">{#N/A,#N/A,FALSE,"BBPREP"}</definedName>
    <definedName name="a" hidden="1">{#N/A,#N/A,FALSE,"BBPREP"}</definedName>
    <definedName name="AAAAAA" localSheetId="3" hidden="1">{#N/A,#N/A,FALSE,"BBPREP"}</definedName>
    <definedName name="AAAAAA" localSheetId="5" hidden="1">{#N/A,#N/A,FALSE,"BBPREP"}</definedName>
    <definedName name="AAAAAA" localSheetId="4" hidden="1">{#N/A,#N/A,FALSE,"BBPREP"}</definedName>
    <definedName name="AAAAAA" hidden="1">{#N/A,#N/A,FALSE,"BBPREP"}</definedName>
    <definedName name="B" localSheetId="3" hidden="1">{#N/A,#N/A,FALSE,"BBPREP"}</definedName>
    <definedName name="B" localSheetId="5" hidden="1">{#N/A,#N/A,FALSE,"BBPREP"}</definedName>
    <definedName name="B" localSheetId="4" hidden="1">{#N/A,#N/A,FALSE,"BBPREP"}</definedName>
    <definedName name="B" hidden="1">{#N/A,#N/A,FALSE,"BBPREP"}</definedName>
    <definedName name="bb">#REF!</definedName>
    <definedName name="BBB" localSheetId="3" hidden="1">{#N/A,#N/A,FALSE,"BBPREP"}</definedName>
    <definedName name="bbb">#REF!</definedName>
    <definedName name="BBBB" localSheetId="3" hidden="1">{#N/A,#N/A,FALSE,"BBPREP"}</definedName>
    <definedName name="BBBB" localSheetId="5" hidden="1">{#N/A,#N/A,FALSE,"BBPREP"}</definedName>
    <definedName name="BBBB" localSheetId="4" hidden="1">{#N/A,#N/A,FALSE,"BBPREP"}</definedName>
    <definedName name="BBBB" hidden="1">{#N/A,#N/A,FALSE,"BBPREP"}</definedName>
    <definedName name="BBBBBB" localSheetId="3" hidden="1">{#N/A,#N/A,FALSE,"BBPREP"}</definedName>
    <definedName name="BBBBBB" localSheetId="5" hidden="1">{#N/A,#N/A,FALSE,"BBPREP"}</definedName>
    <definedName name="BBBBBB" localSheetId="4" hidden="1">{#N/A,#N/A,FALSE,"BBPREP"}</definedName>
    <definedName name="BBBBBB" hidden="1">{#N/A,#N/A,FALSE,"BBPREP"}</definedName>
    <definedName name="BBBBBBB" localSheetId="3" hidden="1">{#N/A,#N/A,FALSE,"BBPREP"}</definedName>
    <definedName name="BBBBBBB" localSheetId="5" hidden="1">{#N/A,#N/A,FALSE,"BBPREP"}</definedName>
    <definedName name="BBBBBBB" localSheetId="4" hidden="1">{#N/A,#N/A,FALSE,"BBPREP"}</definedName>
    <definedName name="BBBBBBB" hidden="1">{#N/A,#N/A,FALSE,"BBPREP"}</definedName>
    <definedName name="BD" localSheetId="3" hidden="1">{#N/A,#N/A,FALSE,"BBPREP"}</definedName>
    <definedName name="BD" localSheetId="5" hidden="1">{#N/A,#N/A,FALSE,"BBPREP"}</definedName>
    <definedName name="BD" localSheetId="4" hidden="1">{#N/A,#N/A,FALSE,"BBPREP"}</definedName>
    <definedName name="BD" hidden="1">{#N/A,#N/A,FALSE,"BBPREP"}</definedName>
    <definedName name="bs" localSheetId="3" hidden="1">{#N/A,#N/A,FALSE,"BBPREP"}</definedName>
    <definedName name="bs" localSheetId="5" hidden="1">{#N/A,#N/A,FALSE,"BBPREP"}</definedName>
    <definedName name="bs" localSheetId="4" hidden="1">{#N/A,#N/A,FALSE,"BBPREP"}</definedName>
    <definedName name="bs" hidden="1">{#N/A,#N/A,FALSE,"BBPREP"}</definedName>
    <definedName name="BS1" localSheetId="3" hidden="1">{#N/A,#N/A,FALSE,"BBPREP"}</definedName>
    <definedName name="BS1" localSheetId="5" hidden="1">{#N/A,#N/A,FALSE,"BBPREP"}</definedName>
    <definedName name="BS1" localSheetId="4" hidden="1">{#N/A,#N/A,FALSE,"BBPREP"}</definedName>
    <definedName name="BS1" hidden="1">{#N/A,#N/A,FALSE,"BBPREP"}</definedName>
    <definedName name="CC" localSheetId="3" hidden="1">{#N/A,#N/A,FALSE,"BBPREP"}</definedName>
    <definedName name="CC" localSheetId="5" hidden="1">{#N/A,#N/A,FALSE,"BBPREP"}</definedName>
    <definedName name="CC" localSheetId="4" hidden="1">{#N/A,#N/A,FALSE,"BBPREP"}</definedName>
    <definedName name="CC" hidden="1">{#N/A,#N/A,FALSE,"BBPREP"}</definedName>
    <definedName name="d">#REF!</definedName>
    <definedName name="DAT10">'[21]经销商'!#REF!</definedName>
    <definedName name="DAT11">'[21]经销商'!#REF!</definedName>
    <definedName name="DAT12">'[21]经销商'!#REF!</definedName>
    <definedName name="DAT5">'[21]经销商'!#REF!</definedName>
    <definedName name="DAT8">'[21]经销商'!#REF!</definedName>
    <definedName name="DAT9">'[21]经销商'!#REF!</definedName>
    <definedName name="EBITDA调节表">'[22]EBITDA调节表'!$A$1</definedName>
    <definedName name="f" localSheetId="3" hidden="1">{#N/A,#N/A,FALSE,"BBPREP"}</definedName>
    <definedName name="f" localSheetId="5" hidden="1">{#N/A,#N/A,FALSE,"BBPREP"}</definedName>
    <definedName name="f" localSheetId="4" hidden="1">{#N/A,#N/A,FALSE,"BBPREP"}</definedName>
    <definedName name="f" hidden="1">{#N/A,#N/A,FALSE,"BBPREP"}</definedName>
    <definedName name="fswf" localSheetId="3" hidden="1">{#N/A,#N/A,FALSE,"BBPREP"}</definedName>
    <definedName name="fswf" localSheetId="5" hidden="1">{#N/A,#N/A,FALSE,"BBPREP"}</definedName>
    <definedName name="fswf" localSheetId="4" hidden="1">{#N/A,#N/A,FALSE,"BBPREP"}</definedName>
    <definedName name="fswf" hidden="1">{#N/A,#N/A,FALSE,"BBPREP"}</definedName>
    <definedName name="hgf" localSheetId="3" hidden="1">{#N/A,#N/A,FALSE,"BBPREP"}</definedName>
    <definedName name="hgf" localSheetId="5" hidden="1">{#N/A,#N/A,FALSE,"BBPREP"}</definedName>
    <definedName name="hgf" localSheetId="4" hidden="1">{#N/A,#N/A,FALSE,"BBPREP"}</definedName>
    <definedName name="hgf" hidden="1">{#N/A,#N/A,FALSE,"BBPREP"}</definedName>
    <definedName name="L" localSheetId="3" hidden="1">{#N/A,#N/A,FALSE,"BBPREP"}</definedName>
    <definedName name="L" localSheetId="5" hidden="1">{#N/A,#N/A,FALSE,"BBPREP"}</definedName>
    <definedName name="L" localSheetId="4" hidden="1">{#N/A,#N/A,FALSE,"BBPREP"}</definedName>
    <definedName name="L" hidden="1">{#N/A,#N/A,FALSE,"BBPREP"}</definedName>
    <definedName name="LLLL" localSheetId="3" hidden="1">{#N/A,#N/A,FALSE,"BBPREP"}</definedName>
    <definedName name="LLLL" localSheetId="5" hidden="1">{#N/A,#N/A,FALSE,"BBPREP"}</definedName>
    <definedName name="LLLL" localSheetId="4" hidden="1">{#N/A,#N/A,FALSE,"BBPREP"}</definedName>
    <definedName name="LLLL" hidden="1">{#N/A,#N/A,FALSE,"BBPREP"}</definedName>
    <definedName name="_xlnm.Print_Area" localSheetId="0">'IFRS报表打印'!$A$1:$M$93</definedName>
    <definedName name="_xlnm.Print_Area" localSheetId="5">'现金流量表(间接法)-1112'!$A$1:$C$46</definedName>
    <definedName name="_xlnm.Print_Area" localSheetId="4">'资产负债表&amp;利润表-1112'!$A$1:$C$133</definedName>
    <definedName name="q" localSheetId="3" hidden="1">{#N/A,#N/A,FALSE,"BBPREP"}</definedName>
    <definedName name="q" localSheetId="5" hidden="1">{#N/A,#N/A,FALSE,"BBPREP"}</definedName>
    <definedName name="q" localSheetId="4" hidden="1">{#N/A,#N/A,FALSE,"BBPREP"}</definedName>
    <definedName name="q" hidden="1">{#N/A,#N/A,FALSE,"BBPREP"}</definedName>
    <definedName name="s" localSheetId="3" hidden="1">{#N/A,#N/A,FALSE,"BBPREP"}</definedName>
    <definedName name="s" localSheetId="5" hidden="1">{#N/A,#N/A,FALSE,"BBPREP"}</definedName>
    <definedName name="s" localSheetId="4" hidden="1">{#N/A,#N/A,FALSE,"BBPREP"}</definedName>
    <definedName name="s" hidden="1">{#N/A,#N/A,FALSE,"BBPREP"}</definedName>
    <definedName name="SAPBEXrevision" hidden="1">1</definedName>
    <definedName name="SAPBEXsysID" hidden="1">"LNG"</definedName>
    <definedName name="SAPBEXwbID" hidden="1">"49HUCFS4TAV6I7LIB25VY6ZOW"</definedName>
    <definedName name="sf" localSheetId="3" hidden="1">{#N/A,#N/A,FALSE,"BBPREP"}</definedName>
    <definedName name="sf" localSheetId="5" hidden="1">{#N/A,#N/A,FALSE,"BBPREP"}</definedName>
    <definedName name="sf" localSheetId="4" hidden="1">{#N/A,#N/A,FALSE,"BBPREP"}</definedName>
    <definedName name="sf" hidden="1">{#N/A,#N/A,FALSE,"BBPREP"}</definedName>
    <definedName name="SSS" localSheetId="3" hidden="1">{#N/A,#N/A,FALSE,"BBPREP"}</definedName>
    <definedName name="SSS" localSheetId="5" hidden="1">{#N/A,#N/A,FALSE,"BBPREP"}</definedName>
    <definedName name="SSS" localSheetId="4" hidden="1">{#N/A,#N/A,FALSE,"BBPREP"}</definedName>
    <definedName name="SSS" hidden="1">{#N/A,#N/A,FALSE,"BBPREP"}</definedName>
    <definedName name="t" localSheetId="3" hidden="1">{#N/A,#N/A,FALSE,"BBPREP"}</definedName>
    <definedName name="t" localSheetId="5" hidden="1">{#N/A,#N/A,FALSE,"BBPREP"}</definedName>
    <definedName name="t" localSheetId="4" hidden="1">{#N/A,#N/A,FALSE,"BBPREP"}</definedName>
    <definedName name="t" hidden="1">{#N/A,#N/A,FALSE,"BBPREP"}</definedName>
    <definedName name="TEST1">'[21]经销商'!#REF!</definedName>
    <definedName name="TT" localSheetId="3" hidden="1">{#N/A,#N/A,FALSE,"BBPREP"}</definedName>
    <definedName name="TT" localSheetId="5" hidden="1">{#N/A,#N/A,FALSE,"BBPREP"}</definedName>
    <definedName name="TT" localSheetId="4" hidden="1">{#N/A,#N/A,FALSE,"BBPREP"}</definedName>
    <definedName name="TT" hidden="1">{#N/A,#N/A,FALSE,"BBPREP"}</definedName>
    <definedName name="Z_21DEAE72_7858_4B41_8273_BE6B2B730E18_.wvu.Rows" localSheetId="8" hidden="1">'收入成本明细表PRC'!$19:$21</definedName>
    <definedName name="Z_80180FDD_BB33_4393_8166_BFE86588DFB4_.wvu.Rows" localSheetId="8" hidden="1">'收入成本明细表PRC'!$19:$21</definedName>
    <definedName name="zhjjl">#REF!</definedName>
    <definedName name="八月">'[27]2005年收入明细new'!$A$3:$N$33</definedName>
    <definedName name="八月二">'[27]2004年收入数据new'!$A$4:$N$31</definedName>
    <definedName name="分录A">#REF!</definedName>
    <definedName name="分录B">'[23]汇总抵消 '!$J:$P</definedName>
    <definedName name="分录C">'[25]总部调整'!$J:$P</definedName>
    <definedName name="红双喜业绩占比分析">#REF!</definedName>
    <definedName name="汇总抵消">'[25]汇总抵消'!$K:$R</definedName>
    <definedName name="李宁与安踏比较">'[22]李宁与安踏比较'!$A$1</definedName>
    <definedName name="五年数据比较图表">#REF!</definedName>
    <definedName name="主要指标">'[19]主要指标'!$F$121</definedName>
    <definedName name="资产日期">'[23]离石试算'!$C$5,'[23]离石试算'!$E$5</definedName>
  </definedNames>
  <calcPr fullCalcOnLoad="1"/>
</workbook>
</file>

<file path=xl/comments1.xml><?xml version="1.0" encoding="utf-8"?>
<comments xmlns="http://schemas.openxmlformats.org/spreadsheetml/2006/main">
  <authors>
    <author>jack</author>
  </authors>
  <commentList>
    <comment ref="A75" authorId="0">
      <text>
        <r>
          <rPr>
            <b/>
            <sz val="8"/>
            <rFont val="宋体"/>
            <family val="0"/>
          </rPr>
          <t>jack:</t>
        </r>
        <r>
          <rPr>
            <sz val="8"/>
            <rFont val="宋体"/>
            <family val="0"/>
          </rPr>
          <t xml:space="preserve">
补贴收入+股利收入+罚款收入</t>
        </r>
      </text>
    </comment>
    <comment ref="A76" authorId="0">
      <text>
        <r>
          <rPr>
            <b/>
            <sz val="8"/>
            <rFont val="宋体"/>
            <family val="0"/>
          </rPr>
          <t>jack:</t>
        </r>
        <r>
          <rPr>
            <sz val="8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chenlei1</author>
  </authors>
  <commentList>
    <comment ref="D15" authorId="0">
      <text>
        <r>
          <rPr>
            <b/>
            <sz val="9"/>
            <rFont val="宋体"/>
            <family val="0"/>
          </rPr>
          <t>chenlei1:</t>
        </r>
        <r>
          <rPr>
            <sz val="9"/>
            <rFont val="宋体"/>
            <family val="0"/>
          </rPr>
          <t xml:space="preserve">
北体特许权使用费的一部分费用化的金额也计入了购建无形资产中，手工调整，来源于王俊玲</t>
        </r>
      </text>
    </comment>
    <comment ref="O15" authorId="0">
      <text>
        <r>
          <rPr>
            <b/>
            <sz val="9"/>
            <rFont val="宋体"/>
            <family val="0"/>
          </rPr>
          <t>chenlei1:</t>
        </r>
        <r>
          <rPr>
            <sz val="9"/>
            <rFont val="宋体"/>
            <family val="0"/>
          </rPr>
          <t xml:space="preserve">
半年更新一次</t>
        </r>
      </text>
    </comment>
  </commentList>
</comments>
</file>

<file path=xl/sharedStrings.xml><?xml version="1.0" encoding="utf-8"?>
<sst xmlns="http://schemas.openxmlformats.org/spreadsheetml/2006/main" count="552" uniqueCount="430">
  <si>
    <t>0808集团合并</t>
  </si>
  <si>
    <t>0808AIGLE</t>
  </si>
  <si>
    <t>0808LINING</t>
  </si>
  <si>
    <t>0808Z-DO</t>
  </si>
  <si>
    <t>当期销售收入</t>
  </si>
  <si>
    <t>当期销售成本</t>
  </si>
  <si>
    <t>当期毛利</t>
  </si>
  <si>
    <t>销售毛利率</t>
  </si>
  <si>
    <t>产品大类</t>
  </si>
  <si>
    <t>销售额</t>
  </si>
  <si>
    <t>占百分比</t>
  </si>
  <si>
    <t>销售成本</t>
  </si>
  <si>
    <t>毛利额</t>
  </si>
  <si>
    <t>鞋</t>
  </si>
  <si>
    <t>服装</t>
  </si>
  <si>
    <t>器材</t>
  </si>
  <si>
    <t>0808LINING零售层</t>
  </si>
  <si>
    <t>收入-分摊</t>
  </si>
  <si>
    <t>分摊前</t>
  </si>
  <si>
    <t>分摊</t>
  </si>
  <si>
    <t>子公司间抵消</t>
  </si>
  <si>
    <t>分摊后</t>
  </si>
  <si>
    <t>其他</t>
  </si>
  <si>
    <t>成本-分摊</t>
  </si>
  <si>
    <t>期末存货毛利率</t>
  </si>
  <si>
    <t>本期销售毛利</t>
  </si>
  <si>
    <t>抵消后金额</t>
  </si>
  <si>
    <t>分摊其他</t>
  </si>
  <si>
    <t>子公司销售成本</t>
  </si>
  <si>
    <t>Per 财务管理部</t>
  </si>
  <si>
    <t>北体</t>
  </si>
  <si>
    <t>Opening Balance</t>
  </si>
  <si>
    <t>ASSETS</t>
  </si>
  <si>
    <t>Non-current assets</t>
  </si>
  <si>
    <t xml:space="preserve">Property, plant and equipment </t>
  </si>
  <si>
    <t>Land use rights</t>
  </si>
  <si>
    <t>Total Non-Current assets</t>
  </si>
  <si>
    <t xml:space="preserve">Current assets </t>
  </si>
  <si>
    <t>Inventories</t>
  </si>
  <si>
    <t>Accounts receivables</t>
  </si>
  <si>
    <t>Prepayments</t>
  </si>
  <si>
    <t xml:space="preserve">Due from related parties </t>
  </si>
  <si>
    <t>Other receivables</t>
  </si>
  <si>
    <t>Prepaid expenses</t>
  </si>
  <si>
    <t>Fixed deposits held at banks</t>
  </si>
  <si>
    <t>Cash and cash equivalents</t>
  </si>
  <si>
    <t>Total Current assets</t>
  </si>
  <si>
    <t>Total assets</t>
  </si>
  <si>
    <t>EQUITY AND LIABILITIES</t>
  </si>
  <si>
    <t>Paid-in capital</t>
  </si>
  <si>
    <t>Reserves</t>
  </si>
  <si>
    <t>Owners’ equity</t>
  </si>
  <si>
    <t>Minority interests</t>
  </si>
  <si>
    <t>LIABILITIES</t>
  </si>
  <si>
    <t>Non-current liabilities</t>
  </si>
  <si>
    <t xml:space="preserve">  Other long-term liabilities</t>
  </si>
  <si>
    <t xml:space="preserve">Current liabilities </t>
  </si>
  <si>
    <t>Trade payables</t>
  </si>
  <si>
    <t>Accrued expense</t>
  </si>
  <si>
    <t>Advances from customers</t>
  </si>
  <si>
    <t>Other payables</t>
  </si>
  <si>
    <t>Wages payables</t>
  </si>
  <si>
    <t>Welfare payables</t>
  </si>
  <si>
    <t>Short-term borrowings</t>
  </si>
  <si>
    <t>Current tax liabilities</t>
  </si>
  <si>
    <t>Dividends payable</t>
  </si>
  <si>
    <t>Total liabilities</t>
  </si>
  <si>
    <t>Total equity and liabilities</t>
  </si>
  <si>
    <t>P&amp;L</t>
  </si>
  <si>
    <t>IFRS</t>
  </si>
  <si>
    <t xml:space="preserve">Turnover </t>
  </si>
  <si>
    <t>Costs of sales and tax</t>
  </si>
  <si>
    <t xml:space="preserve">Gross profit </t>
  </si>
  <si>
    <t>Other revenues</t>
  </si>
  <si>
    <t>Other operating expenses</t>
  </si>
  <si>
    <t>Selling expenses</t>
  </si>
  <si>
    <t xml:space="preserve">Administrative expenses </t>
  </si>
  <si>
    <t>Subsidy Income</t>
  </si>
  <si>
    <t>Investment income</t>
  </si>
  <si>
    <t>Non operating Expense</t>
  </si>
  <si>
    <t xml:space="preserve">Finance costs, net </t>
  </si>
  <si>
    <t xml:space="preserve">Profit before taxation </t>
  </si>
  <si>
    <t xml:space="preserve">Taxation </t>
  </si>
  <si>
    <t xml:space="preserve">Profit after taxation </t>
  </si>
  <si>
    <t>Profit for the year</t>
  </si>
  <si>
    <t>check</t>
  </si>
  <si>
    <t>李宁中国</t>
  </si>
  <si>
    <t>青岛</t>
  </si>
  <si>
    <t>新疆</t>
  </si>
  <si>
    <t>产品大类</t>
  </si>
  <si>
    <t>上体</t>
  </si>
  <si>
    <t>check</t>
  </si>
  <si>
    <t>当期销售收入</t>
  </si>
  <si>
    <t>当期销售成本</t>
  </si>
  <si>
    <t>当期毛利</t>
  </si>
  <si>
    <t>销售毛利率</t>
  </si>
  <si>
    <t>销售额</t>
  </si>
  <si>
    <t>占百分比</t>
  </si>
  <si>
    <t>销售成本</t>
  </si>
  <si>
    <t>毛利额</t>
  </si>
  <si>
    <t/>
  </si>
  <si>
    <t>公司</t>
  </si>
  <si>
    <t>本年累计</t>
  </si>
  <si>
    <t>记帐等级</t>
  </si>
  <si>
    <t>结构</t>
  </si>
  <si>
    <t>记帐期间</t>
  </si>
  <si>
    <t>现金流量结构</t>
  </si>
  <si>
    <t>现金流量调整CFA#3</t>
  </si>
  <si>
    <t>现金流量调整CFA#5</t>
  </si>
  <si>
    <t>现金流量调整CFA#7</t>
  </si>
  <si>
    <t>上年同期</t>
  </si>
  <si>
    <t>科目总调整-调整购置固定资产等现金流出</t>
  </si>
  <si>
    <t>补销售子公司现金流量</t>
  </si>
  <si>
    <t>一、经营活动产生的现金流量：</t>
  </si>
  <si>
    <t>销售商品、提供劳务收到的现金</t>
  </si>
  <si>
    <t>销售商品、提供劳务抵销</t>
  </si>
  <si>
    <t>收到的税费返还</t>
  </si>
  <si>
    <t>收到的其他与经营活动有关的现金</t>
  </si>
  <si>
    <t xml:space="preserve">    经营活动现金流入小计</t>
  </si>
  <si>
    <t>购买商品、接受劳务支付的现金</t>
  </si>
  <si>
    <t>支付给职工以及为职工支付的现金</t>
  </si>
  <si>
    <t>支付的各项税费</t>
  </si>
  <si>
    <t>支付的其他与经营活动有关的现金</t>
  </si>
  <si>
    <t xml:space="preserve">    经营活动现金流出小计</t>
  </si>
  <si>
    <t xml:space="preserve">       经营活动产生的现金流量净额</t>
  </si>
  <si>
    <t>二、投资活动产生的现金流量：</t>
  </si>
  <si>
    <t>收回投资所收到的现金</t>
  </si>
  <si>
    <t>取得投资收益所收到的现金</t>
  </si>
  <si>
    <t>处置固定资产、无形资产和其他长期资产所收到的现金净额</t>
  </si>
  <si>
    <t>处置子公司及其他营业单位收到的现金净额</t>
  </si>
  <si>
    <t>收到的其他与投资活动有关的现金</t>
  </si>
  <si>
    <t xml:space="preserve">    投资活动现金流入小计</t>
  </si>
  <si>
    <t>购建固定资产、无形资产和其他长期资产所支付的现金</t>
  </si>
  <si>
    <t>投资所支付的现金</t>
  </si>
  <si>
    <t>取得子公司及其他营业单位支付的现金净额</t>
  </si>
  <si>
    <t>支付的其他与投资活动有关的现金</t>
  </si>
  <si>
    <t xml:space="preserve">    投资活动现金流出小计</t>
  </si>
  <si>
    <t xml:space="preserve">       投资活动产生的现金流量净额</t>
  </si>
  <si>
    <t>三、筹资活动产生的现金流量：</t>
  </si>
  <si>
    <t>吸收投资所收到的现金</t>
  </si>
  <si>
    <t>取得借款所收到的现金</t>
  </si>
  <si>
    <t>收到的其他与筹资活动有关的现金</t>
  </si>
  <si>
    <t xml:space="preserve">    筹资活动现金流入小计</t>
  </si>
  <si>
    <t>偿还债务所支付的现金</t>
  </si>
  <si>
    <t>分配股利、利润和偿还利息所支付现金</t>
  </si>
  <si>
    <t>支付的其他与筹资活动有关的现金</t>
  </si>
  <si>
    <t xml:space="preserve">    筹资活动现金流出小计</t>
  </si>
  <si>
    <t xml:space="preserve">       筹资活动产生的现金流量净额</t>
  </si>
  <si>
    <t>汇率变动对现金的影响</t>
  </si>
  <si>
    <t xml:space="preserve">       汇率变动对本期现金的影响</t>
  </si>
  <si>
    <t xml:space="preserve">       外币折算差额</t>
  </si>
  <si>
    <t>期末现金</t>
  </si>
  <si>
    <r>
      <t>现金流量表</t>
    </r>
    <r>
      <rPr>
        <b/>
        <sz val="16"/>
        <color indexed="23"/>
        <rFont val="Arial"/>
        <family val="2"/>
      </rPr>
      <t>-</t>
    </r>
    <r>
      <rPr>
        <b/>
        <sz val="16"/>
        <color indexed="23"/>
        <rFont val="Helv"/>
        <family val="2"/>
      </rPr>
      <t>直接法</t>
    </r>
  </si>
  <si>
    <r>
      <t>一、经营活动产生的现金流量：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销售商品、提供劳务收到的现金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销售商品、提供劳务收到的现金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销售商品、提供劳务抵销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收到的税费返还</t>
    </r>
    <r>
      <rPr>
        <b/>
        <sz val="10"/>
        <color indexed="8"/>
        <rFont val="Arial"/>
        <family val="2"/>
      </rPr>
      <t>...</t>
    </r>
  </si>
  <si>
    <r>
      <t>现金流量调整</t>
    </r>
    <r>
      <rPr>
        <sz val="10"/>
        <rFont val="Arial"/>
        <family val="2"/>
      </rPr>
      <t>CFA#4</t>
    </r>
  </si>
  <si>
    <t>款龄</t>
  </si>
  <si>
    <t>外采库存成本</t>
  </si>
  <si>
    <t>1年内库龄</t>
  </si>
  <si>
    <t>1-2年内库龄</t>
  </si>
  <si>
    <t>2-3年库龄</t>
  </si>
  <si>
    <t>3年以上</t>
  </si>
  <si>
    <t>结果</t>
  </si>
  <si>
    <t>抵消后</t>
  </si>
  <si>
    <t>抵消前</t>
  </si>
  <si>
    <t>北体</t>
  </si>
  <si>
    <t>广东李宁</t>
  </si>
  <si>
    <t>悦奥</t>
  </si>
  <si>
    <t>香港科技</t>
  </si>
  <si>
    <t>北京</t>
  </si>
  <si>
    <t>上海</t>
  </si>
  <si>
    <t>天津</t>
  </si>
  <si>
    <t>沈阳</t>
  </si>
  <si>
    <t>石家庄</t>
  </si>
  <si>
    <t>济南</t>
  </si>
  <si>
    <t>郑州</t>
  </si>
  <si>
    <t>西安</t>
  </si>
  <si>
    <t>兰州</t>
  </si>
  <si>
    <t>武汉</t>
  </si>
  <si>
    <t>广州</t>
  </si>
  <si>
    <t>南宁</t>
  </si>
  <si>
    <t>长沙</t>
  </si>
  <si>
    <t>南京</t>
  </si>
  <si>
    <t>广州东莞</t>
  </si>
  <si>
    <t>成都</t>
  </si>
  <si>
    <t>香港李宁</t>
  </si>
  <si>
    <t>体服</t>
  </si>
  <si>
    <t>艾高中国</t>
  </si>
  <si>
    <t>李宁商业</t>
  </si>
  <si>
    <t>心动</t>
  </si>
  <si>
    <t xml:space="preserve">       汇率变动对期初现金的影响</t>
  </si>
  <si>
    <t>现金及现金等价物净增加额</t>
  </si>
  <si>
    <t>期初现金（汇率重估前）</t>
  </si>
  <si>
    <t>成都</t>
  </si>
  <si>
    <t>check</t>
  </si>
  <si>
    <t>Deferred income tax liability</t>
  </si>
  <si>
    <t>合计</t>
  </si>
  <si>
    <t>存货跌价准备-鞋</t>
  </si>
  <si>
    <t>#</t>
  </si>
  <si>
    <t>体服</t>
  </si>
  <si>
    <t>心动</t>
  </si>
  <si>
    <t>20070630</t>
  </si>
  <si>
    <t>Closing Blance</t>
  </si>
  <si>
    <t>000’</t>
  </si>
  <si>
    <t>20080630</t>
  </si>
  <si>
    <t>Closing Blance</t>
  </si>
  <si>
    <t>20071231</t>
  </si>
  <si>
    <t>000’</t>
  </si>
  <si>
    <t>Intangible assets</t>
  </si>
  <si>
    <t>Other non-current assets</t>
  </si>
  <si>
    <t>Prepayments for acquisition of subsidiaries</t>
  </si>
  <si>
    <t>Deferred income tax assets</t>
  </si>
  <si>
    <t>Derivative financial instruments</t>
  </si>
  <si>
    <t>Time depositsPledged bank deposits</t>
  </si>
  <si>
    <t>库藏股</t>
  </si>
  <si>
    <t>license fee payables-currentportion</t>
  </si>
  <si>
    <t>IFRS</t>
  </si>
  <si>
    <t>销售税金及附加</t>
  </si>
  <si>
    <t>check</t>
  </si>
  <si>
    <t>服装</t>
  </si>
  <si>
    <t>器材</t>
  </si>
  <si>
    <t>合计</t>
  </si>
  <si>
    <t>当期销售收入</t>
  </si>
  <si>
    <t>当期销售成本</t>
  </si>
  <si>
    <t>当期毛利</t>
  </si>
  <si>
    <t>销售毛利率</t>
  </si>
  <si>
    <t>产品大类</t>
  </si>
  <si>
    <t>销售额</t>
  </si>
  <si>
    <t>占百分比</t>
  </si>
  <si>
    <t>销售成本</t>
  </si>
  <si>
    <t>毛利额</t>
  </si>
  <si>
    <t>鞋</t>
  </si>
  <si>
    <t>小计</t>
  </si>
  <si>
    <t>Diff</t>
  </si>
  <si>
    <t>合并科目表</t>
  </si>
  <si>
    <t>李宁集团合并科目表</t>
  </si>
  <si>
    <t>版本</t>
  </si>
  <si>
    <t>实际版本</t>
  </si>
  <si>
    <t>记帐期间</t>
  </si>
  <si>
    <t>#..8</t>
  </si>
  <si>
    <t>会计年度变式</t>
  </si>
  <si>
    <r>
      <t>公历年</t>
    </r>
    <r>
      <rPr>
        <sz val="10"/>
        <color indexed="8"/>
        <rFont val="Arial"/>
        <family val="2"/>
      </rPr>
      <t>, 4</t>
    </r>
    <r>
      <rPr>
        <sz val="10"/>
        <color indexed="8"/>
        <rFont val="Helv"/>
        <family val="2"/>
      </rPr>
      <t>个特别期间</t>
    </r>
  </si>
  <si>
    <r>
      <t>和</t>
    </r>
    <r>
      <rPr>
        <sz val="10"/>
        <rFont val="Arial"/>
        <family val="2"/>
      </rPr>
      <t>o</t>
    </r>
  </si>
  <si>
    <t>现金流量调整CFA#1</t>
  </si>
  <si>
    <r>
      <t>现金流量调整</t>
    </r>
    <r>
      <rPr>
        <sz val="10"/>
        <rFont val="Arial"/>
        <family val="2"/>
      </rPr>
      <t>CFA#2</t>
    </r>
  </si>
  <si>
    <r>
      <t>现金流量调整</t>
    </r>
    <r>
      <rPr>
        <sz val="10"/>
        <rFont val="Arial"/>
        <family val="2"/>
      </rPr>
      <t>CFA#8</t>
    </r>
  </si>
  <si>
    <r>
      <t>现金流量调整</t>
    </r>
    <r>
      <rPr>
        <sz val="10"/>
        <rFont val="Arial"/>
        <family val="2"/>
      </rPr>
      <t>CFA#</t>
    </r>
    <r>
      <rPr>
        <sz val="10"/>
        <rFont val="宋体"/>
        <family val="0"/>
      </rPr>
      <t>９</t>
    </r>
  </si>
  <si>
    <r>
      <t>现金流量调整</t>
    </r>
    <r>
      <rPr>
        <sz val="10"/>
        <rFont val="Arial"/>
        <family val="2"/>
      </rPr>
      <t>CFA#10</t>
    </r>
  </si>
  <si>
    <r>
      <t>现金流量调整</t>
    </r>
    <r>
      <rPr>
        <sz val="10"/>
        <rFont val="Arial"/>
        <family val="2"/>
      </rPr>
      <t>CFA#11</t>
    </r>
  </si>
  <si>
    <r>
      <t>现金流量调整</t>
    </r>
    <r>
      <rPr>
        <sz val="10"/>
        <rFont val="Arial"/>
        <family val="2"/>
      </rPr>
      <t>CFA#12</t>
    </r>
  </si>
  <si>
    <r>
      <t>现金流量调整</t>
    </r>
    <r>
      <rPr>
        <sz val="10"/>
        <rFont val="Arial"/>
        <family val="2"/>
      </rPr>
      <t>CFA#13</t>
    </r>
  </si>
  <si>
    <r>
      <t>现金流量调整</t>
    </r>
    <r>
      <rPr>
        <sz val="10"/>
        <rFont val="Arial"/>
        <family val="2"/>
      </rPr>
      <t>CFA#14</t>
    </r>
  </si>
  <si>
    <r>
      <t>现金流量调整</t>
    </r>
    <r>
      <rPr>
        <sz val="10"/>
        <rFont val="Arial"/>
        <family val="2"/>
      </rPr>
      <t>CFA#15</t>
    </r>
  </si>
  <si>
    <r>
      <t>现金流量调整</t>
    </r>
    <r>
      <rPr>
        <sz val="10"/>
        <rFont val="Arial"/>
        <family val="2"/>
      </rPr>
      <t>CFA#16</t>
    </r>
  </si>
  <si>
    <r>
      <t>现金流量调整</t>
    </r>
    <r>
      <rPr>
        <sz val="10"/>
        <rFont val="Arial"/>
        <family val="2"/>
      </rPr>
      <t>CFA#17</t>
    </r>
  </si>
  <si>
    <r>
      <t>现金流量调整</t>
    </r>
    <r>
      <rPr>
        <sz val="10"/>
        <rFont val="Arial"/>
        <family val="2"/>
      </rPr>
      <t>CA#1</t>
    </r>
  </si>
  <si>
    <t>心动投资款期初差异</t>
  </si>
  <si>
    <t>Aigle vs HK</t>
  </si>
  <si>
    <t>汇率变动对现金影响的调整</t>
  </si>
  <si>
    <t>北体vs一动</t>
  </si>
  <si>
    <t>期初现金差异</t>
  </si>
  <si>
    <t>凯胜投资款调整至经营活动中</t>
  </si>
  <si>
    <t>本期支付土地使用权费用</t>
  </si>
  <si>
    <t>银行利息收入合并层调为投资活动</t>
  </si>
  <si>
    <t>支付特许权使用费</t>
  </si>
  <si>
    <t>将借款调整与B/S一致</t>
  </si>
  <si>
    <t>按0806间接法调整付股利和利息</t>
  </si>
  <si>
    <t>汇率差调整</t>
  </si>
  <si>
    <t>9006借款往来重建汇率差调整</t>
  </si>
  <si>
    <t>liningSpain与香港科技之间现金流量抵消</t>
  </si>
  <si>
    <t>调整后现金流量金额</t>
  </si>
  <si>
    <r>
      <t>期初现金</t>
    </r>
    <r>
      <rPr>
        <sz val="10"/>
        <rFont val="Arial"/>
        <family val="2"/>
      </rPr>
      <t>per annual report</t>
    </r>
  </si>
  <si>
    <t>期初现金check</t>
  </si>
  <si>
    <r>
      <t>期末现金</t>
    </r>
    <r>
      <rPr>
        <sz val="10"/>
        <rFont val="Arial"/>
        <family val="2"/>
      </rPr>
      <t>per B/S</t>
    </r>
  </si>
  <si>
    <t>期末现金check</t>
  </si>
  <si>
    <t>Lining Brand</t>
  </si>
  <si>
    <t>外采库存成本</t>
  </si>
  <si>
    <t>跌价准备</t>
  </si>
  <si>
    <t>存货跌价准备-服装</t>
  </si>
  <si>
    <t>计提比例</t>
  </si>
  <si>
    <t>#</t>
  </si>
  <si>
    <t>存货跌价准备-器材</t>
  </si>
  <si>
    <t>#</t>
  </si>
  <si>
    <t>存货跌价准备-推广</t>
  </si>
  <si>
    <t>存货跌价准备-其他</t>
  </si>
  <si>
    <t>总计</t>
  </si>
  <si>
    <t>减：李宁一般减值准备</t>
  </si>
  <si>
    <t xml:space="preserve">   李宁特殊减值准备</t>
  </si>
  <si>
    <t>悦奥过季辅料</t>
  </si>
  <si>
    <t>广体过季辅料</t>
  </si>
  <si>
    <t>各公司已提减值准备</t>
  </si>
  <si>
    <t>应调整额</t>
  </si>
  <si>
    <t>加：艾高存货金额</t>
  </si>
  <si>
    <t>冲减值准备</t>
  </si>
  <si>
    <t xml:space="preserve">   艾高减值准备</t>
  </si>
  <si>
    <t>调整后现金流量金额</t>
  </si>
  <si>
    <t>商誉减值怎么做？</t>
  </si>
  <si>
    <t>资产负债表已6月底为准</t>
  </si>
  <si>
    <t>P/L7月份开始并入集团</t>
  </si>
  <si>
    <t>DHS投资原始价值可能会变动，相应商誉等都会变动</t>
  </si>
  <si>
    <t>0808 DHS</t>
  </si>
  <si>
    <t>Net profit(%)</t>
  </si>
  <si>
    <t>差异</t>
  </si>
  <si>
    <r>
      <t>税前利润率</t>
    </r>
    <r>
      <rPr>
        <i/>
        <sz val="10"/>
        <rFont val="Arial"/>
        <family val="2"/>
      </rPr>
      <t>/Profit before taxation margin</t>
    </r>
  </si>
  <si>
    <t>Margin of profit attributable to equity holders</t>
  </si>
  <si>
    <t xml:space="preserve">Expense rate </t>
  </si>
  <si>
    <t>Tax rate(%)</t>
  </si>
  <si>
    <t>1012A</t>
  </si>
  <si>
    <t>1012F</t>
  </si>
  <si>
    <t>1106A</t>
  </si>
  <si>
    <t>同期收入增长率</t>
  </si>
  <si>
    <t>1012A</t>
  </si>
  <si>
    <t>1106F</t>
  </si>
  <si>
    <t>1106A vs 1106F</t>
  </si>
  <si>
    <t>1106vs1012</t>
  </si>
  <si>
    <t>1006A</t>
  </si>
  <si>
    <t>1106Avs1006A</t>
  </si>
  <si>
    <t>N/A</t>
  </si>
  <si>
    <t>N/A</t>
  </si>
  <si>
    <r>
      <t xml:space="preserve">1106            </t>
    </r>
    <r>
      <rPr>
        <b/>
        <sz val="10"/>
        <color indexed="9"/>
        <rFont val="宋体"/>
        <family val="0"/>
      </rPr>
      <t>业绩预警</t>
    </r>
  </si>
  <si>
    <r>
      <t>1106Avs1106</t>
    </r>
    <r>
      <rPr>
        <b/>
        <sz val="10"/>
        <color indexed="9"/>
        <rFont val="宋体"/>
        <family val="0"/>
      </rPr>
      <t>业绩预警</t>
    </r>
  </si>
  <si>
    <t>N/A</t>
  </si>
  <si>
    <t>(6-7)%</t>
  </si>
  <si>
    <t>合理</t>
  </si>
  <si>
    <t>资产</t>
  </si>
  <si>
    <t>非流动资产</t>
  </si>
  <si>
    <t>物业、机器及设备</t>
  </si>
  <si>
    <t>土地使用权</t>
  </si>
  <si>
    <t>无形资产</t>
  </si>
  <si>
    <t>递延所得税资产</t>
  </si>
  <si>
    <t>可供出售之金融资产</t>
  </si>
  <si>
    <t>其他应收款项及预付款项</t>
  </si>
  <si>
    <t>非流动资产总额</t>
  </si>
  <si>
    <t>流动资产</t>
  </si>
  <si>
    <t>存货</t>
  </si>
  <si>
    <t>应收贸易款项</t>
  </si>
  <si>
    <r>
      <t>其他应收款项及预付款项</t>
    </r>
    <r>
      <rPr>
        <sz val="12"/>
        <rFont val="Arial"/>
        <family val="2"/>
      </rPr>
      <t xml:space="preserve"> - </t>
    </r>
    <r>
      <rPr>
        <sz val="12"/>
        <rFont val="宋体"/>
        <family val="0"/>
      </rPr>
      <t>即期部分</t>
    </r>
  </si>
  <si>
    <t>受限制之银行存款</t>
  </si>
  <si>
    <t>现金及等同现金项目</t>
  </si>
  <si>
    <t>流动资产总额</t>
  </si>
  <si>
    <t>资产总额</t>
  </si>
  <si>
    <t>权益</t>
  </si>
  <si>
    <t>本公司权益持有人应占股本及储备</t>
  </si>
  <si>
    <t>普通股</t>
  </si>
  <si>
    <t>股份溢价</t>
  </si>
  <si>
    <t>就限制性股份奖励计划持有之股份</t>
  </si>
  <si>
    <t>其他储备</t>
  </si>
  <si>
    <t>保留溢利</t>
  </si>
  <si>
    <r>
      <t xml:space="preserve">     - </t>
    </r>
    <r>
      <rPr>
        <sz val="12"/>
        <rFont val="宋体"/>
        <family val="0"/>
      </rPr>
      <t>其他</t>
    </r>
  </si>
  <si>
    <t>非控制性权益</t>
  </si>
  <si>
    <t>权益总额</t>
  </si>
  <si>
    <t>负债</t>
  </si>
  <si>
    <t>非流动负债</t>
  </si>
  <si>
    <t>应付特许使用费</t>
  </si>
  <si>
    <t>递延所得税负债</t>
  </si>
  <si>
    <t>递延收入</t>
  </si>
  <si>
    <t>非流动负债总额</t>
  </si>
  <si>
    <t>流动负债</t>
  </si>
  <si>
    <t>应付贸易款项</t>
  </si>
  <si>
    <t>其他应付款项及应计费用</t>
  </si>
  <si>
    <r>
      <t>应付特许使用费</t>
    </r>
    <r>
      <rPr>
        <sz val="12"/>
        <rFont val="Arial"/>
        <family val="2"/>
      </rPr>
      <t xml:space="preserve"> - </t>
    </r>
    <r>
      <rPr>
        <sz val="12"/>
        <rFont val="宋体"/>
        <family val="0"/>
      </rPr>
      <t>即期部分</t>
    </r>
  </si>
  <si>
    <t>当期所得税负债</t>
  </si>
  <si>
    <t>借贷</t>
  </si>
  <si>
    <t>流动负债总额</t>
  </si>
  <si>
    <t>负债总额</t>
  </si>
  <si>
    <t>权益及负债总额</t>
  </si>
  <si>
    <t>流动资产净值</t>
  </si>
  <si>
    <t>资产总额减流动负债</t>
  </si>
  <si>
    <t>收入</t>
  </si>
  <si>
    <t>销售成本</t>
  </si>
  <si>
    <t>毛利</t>
  </si>
  <si>
    <t>经销成本</t>
  </si>
  <si>
    <t>行政开支</t>
  </si>
  <si>
    <t>经营溢利</t>
  </si>
  <si>
    <t>融资收入</t>
  </si>
  <si>
    <t>融资成本</t>
  </si>
  <si>
    <r>
      <t>融资成本</t>
    </r>
    <r>
      <rPr>
        <sz val="12"/>
        <rFont val="Arial"/>
        <family val="2"/>
      </rPr>
      <t xml:space="preserve"> - </t>
    </r>
    <r>
      <rPr>
        <sz val="12"/>
        <rFont val="宋体"/>
        <family val="0"/>
      </rPr>
      <t>净额</t>
    </r>
  </si>
  <si>
    <t>除所得税前溢利</t>
  </si>
  <si>
    <t>所得税开支</t>
  </si>
  <si>
    <t>由下列各方应占：</t>
  </si>
  <si>
    <r>
      <t xml:space="preserve">    </t>
    </r>
    <r>
      <rPr>
        <sz val="12"/>
        <rFont val="宋体"/>
        <family val="0"/>
      </rPr>
      <t>本公司权益持有人</t>
    </r>
  </si>
  <si>
    <r>
      <t xml:space="preserve">    </t>
    </r>
    <r>
      <rPr>
        <sz val="12"/>
        <rFont val="宋体"/>
        <family val="0"/>
      </rPr>
      <t>非控制性权益</t>
    </r>
  </si>
  <si>
    <r>
      <t xml:space="preserve">    -</t>
    </r>
    <r>
      <rPr>
        <sz val="12"/>
        <rFont val="宋体"/>
        <family val="0"/>
      </rPr>
      <t>基本</t>
    </r>
  </si>
  <si>
    <r>
      <t xml:space="preserve">    -</t>
    </r>
    <r>
      <rPr>
        <sz val="12"/>
        <rFont val="宋体"/>
        <family val="0"/>
      </rPr>
      <t>摊薄</t>
    </r>
  </si>
  <si>
    <t>股息</t>
  </si>
  <si>
    <t>其他全面收益：</t>
  </si>
  <si>
    <t xml:space="preserve">  外币折算差额</t>
  </si>
  <si>
    <t>有下列各方应占：</t>
  </si>
  <si>
    <t>经营活动之现金流量</t>
  </si>
  <si>
    <t>经营业务产生之现金</t>
  </si>
  <si>
    <t>已付所得税</t>
  </si>
  <si>
    <t>经营活动产生之现金净额</t>
  </si>
  <si>
    <t>投资活动之现金流量</t>
  </si>
  <si>
    <r>
      <t xml:space="preserve">    - </t>
    </r>
    <r>
      <rPr>
        <sz val="12"/>
        <rFont val="宋体"/>
        <family val="0"/>
      </rPr>
      <t>结清收购附属公司之应付款项</t>
    </r>
  </si>
  <si>
    <r>
      <t xml:space="preserve">    - </t>
    </r>
    <r>
      <rPr>
        <sz val="12"/>
        <rFont val="宋体"/>
        <family val="0"/>
      </rPr>
      <t>购入物业、机器及设备</t>
    </r>
  </si>
  <si>
    <r>
      <t xml:space="preserve">    - </t>
    </r>
    <r>
      <rPr>
        <sz val="12"/>
        <rFont val="宋体"/>
        <family val="0"/>
      </rPr>
      <t>购入土地使用权</t>
    </r>
  </si>
  <si>
    <r>
      <t xml:space="preserve">    - </t>
    </r>
    <r>
      <rPr>
        <sz val="12"/>
        <rFont val="宋体"/>
        <family val="0"/>
      </rPr>
      <t>购入无形资产</t>
    </r>
  </si>
  <si>
    <r>
      <t xml:space="preserve">    - </t>
    </r>
    <r>
      <rPr>
        <sz val="12"/>
        <rFont val="宋体"/>
        <family val="0"/>
      </rPr>
      <t>投资可供出售之金融资产</t>
    </r>
  </si>
  <si>
    <r>
      <t xml:space="preserve">    - </t>
    </r>
    <r>
      <rPr>
        <sz val="12"/>
        <rFont val="宋体"/>
        <family val="0"/>
      </rPr>
      <t>已收利息</t>
    </r>
  </si>
  <si>
    <t>投资活动所用之现金净额</t>
  </si>
  <si>
    <t>融资活动之现金流量</t>
  </si>
  <si>
    <r>
      <t xml:space="preserve">    - </t>
    </r>
    <r>
      <rPr>
        <sz val="12"/>
        <rFont val="宋体"/>
        <family val="0"/>
      </rPr>
      <t>向本公司权益持有人支付股息</t>
    </r>
  </si>
  <si>
    <r>
      <t xml:space="preserve">    - </t>
    </r>
    <r>
      <rPr>
        <sz val="12"/>
        <rFont val="宋体"/>
        <family val="0"/>
      </rPr>
      <t>向一家附属公司之非控制性权益支付股息</t>
    </r>
  </si>
  <si>
    <r>
      <t xml:space="preserve">    - </t>
    </r>
    <r>
      <rPr>
        <sz val="12"/>
        <rFont val="宋体"/>
        <family val="0"/>
      </rPr>
      <t>发行普通股所得款项</t>
    </r>
  </si>
  <si>
    <r>
      <t xml:space="preserve">    - </t>
    </r>
    <r>
      <rPr>
        <sz val="12"/>
        <rFont val="宋体"/>
        <family val="0"/>
      </rPr>
      <t>一家附属公司之非控制性权益注资</t>
    </r>
  </si>
  <si>
    <r>
      <t xml:space="preserve">    - </t>
    </r>
    <r>
      <rPr>
        <sz val="12"/>
        <rFont val="宋体"/>
        <family val="0"/>
      </rPr>
      <t>银行借贷所得款项</t>
    </r>
  </si>
  <si>
    <r>
      <t xml:space="preserve">    - </t>
    </r>
    <r>
      <rPr>
        <sz val="12"/>
        <rFont val="宋体"/>
        <family val="0"/>
      </rPr>
      <t>偿还银行借贷</t>
    </r>
  </si>
  <si>
    <r>
      <t xml:space="preserve">    - </t>
    </r>
    <r>
      <rPr>
        <sz val="12"/>
        <rFont val="宋体"/>
        <family val="0"/>
      </rPr>
      <t>就限制性股份奖励计划购买股份</t>
    </r>
  </si>
  <si>
    <r>
      <t xml:space="preserve">    - </t>
    </r>
    <r>
      <rPr>
        <sz val="12"/>
        <rFont val="宋体"/>
        <family val="0"/>
      </rPr>
      <t>已付利息</t>
    </r>
  </si>
  <si>
    <t>现金及等同现金项目汇兑亏损</t>
  </si>
  <si>
    <t>年内溢利</t>
  </si>
  <si>
    <t>年内全面收益总额</t>
  </si>
  <si>
    <r>
      <t xml:space="preserve">    - </t>
    </r>
    <r>
      <rPr>
        <sz val="12"/>
        <rFont val="宋体"/>
        <family val="0"/>
      </rPr>
      <t>出售物业、机器、设备及无形资产所得款项</t>
    </r>
  </si>
  <si>
    <t>年初之现金及等同现金项目</t>
  </si>
  <si>
    <t>年末之现金及等同现金项目</t>
  </si>
  <si>
    <t>千元人民币</t>
  </si>
  <si>
    <t>千元人民币</t>
  </si>
  <si>
    <t>千元人民币</t>
  </si>
  <si>
    <r>
      <t xml:space="preserve">     - </t>
    </r>
    <r>
      <rPr>
        <sz val="12"/>
        <rFont val="宋体"/>
        <family val="0"/>
      </rPr>
      <t>拟派末期股息</t>
    </r>
  </si>
  <si>
    <r>
      <t>本公司权益持有人应占溢利之每股盈利</t>
    </r>
    <r>
      <rPr>
        <b/>
        <sz val="12"/>
        <rFont val="Arial"/>
        <family val="2"/>
      </rPr>
      <t xml:space="preserve"> (</t>
    </r>
    <r>
      <rPr>
        <b/>
        <sz val="12"/>
        <rFont val="宋体"/>
        <family val="0"/>
      </rPr>
      <t>分人民币</t>
    </r>
    <r>
      <rPr>
        <b/>
        <sz val="12"/>
        <rFont val="Arial"/>
        <family val="2"/>
      </rPr>
      <t>)</t>
    </r>
  </si>
  <si>
    <t>于2011年12月31日</t>
  </si>
  <si>
    <t>2011年</t>
  </si>
  <si>
    <t>联营公司投资</t>
  </si>
  <si>
    <t>其他收入-净额</t>
  </si>
  <si>
    <t>应占联营公司亏损</t>
  </si>
  <si>
    <r>
      <t xml:space="preserve">    - </t>
    </r>
    <r>
      <rPr>
        <sz val="12"/>
        <rFont val="宋体"/>
        <family val="0"/>
      </rPr>
      <t>投资联营公司</t>
    </r>
  </si>
  <si>
    <r>
      <t xml:space="preserve">    - </t>
    </r>
    <r>
      <rPr>
        <sz val="12"/>
        <rFont val="宋体"/>
        <family val="0"/>
      </rPr>
      <t>预付其他投资之款项</t>
    </r>
  </si>
  <si>
    <t>融资活动产生/(所用)之现金净额</t>
  </si>
  <si>
    <r>
      <t xml:space="preserve">    - </t>
    </r>
    <r>
      <rPr>
        <sz val="12"/>
        <rFont val="宋体"/>
        <family val="0"/>
      </rPr>
      <t>受限制之银行存款</t>
    </r>
    <r>
      <rPr>
        <sz val="12"/>
        <rFont val="Arial"/>
        <family val="2"/>
      </rPr>
      <t>(</t>
    </r>
    <r>
      <rPr>
        <sz val="12"/>
        <rFont val="宋体"/>
        <family val="0"/>
      </rPr>
      <t>增加</t>
    </r>
    <r>
      <rPr>
        <sz val="12"/>
        <rFont val="Arial"/>
        <family val="2"/>
      </rPr>
      <t>)/</t>
    </r>
    <r>
      <rPr>
        <sz val="12"/>
        <rFont val="宋体"/>
        <family val="0"/>
      </rPr>
      <t>减少</t>
    </r>
  </si>
  <si>
    <t>现金及等同现金项目净(减少)/增加</t>
  </si>
  <si>
    <t>截至12月31日止年度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</si>
</sst>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.00_ "/>
    <numFmt numFmtId="178" formatCode="#,##0.00_);[Red]\(#,##0.00\)"/>
    <numFmt numFmtId="179" formatCode="_(* #,##0_);_(* \(#,##0\);_(* &quot;-&quot;_);_(@_)"/>
    <numFmt numFmtId="180" formatCode="_(* #,##0.00_);_(* \(#,##0.00\);_(* &quot;-&quot;??_);_(@_)"/>
    <numFmt numFmtId="181" formatCode="#,##0_);[Red]\(#,##0\)"/>
    <numFmt numFmtId="182" formatCode="_(* #,##0_);_(* \(#,##0\);_(* &quot;-&quot;??_);_(@_)"/>
    <numFmt numFmtId="183" formatCode="_ * #,##0_ ;_ * \-#,##0_ ;_ * &quot;-&quot;??_ ;_ @_ "/>
    <numFmt numFmtId="184" formatCode="0.0%"/>
    <numFmt numFmtId="185" formatCode="_ * #,##0.0_ ;_ * \-#,##0.0_ ;_ * &quot;-&quot;??_ ;_ @_ "/>
    <numFmt numFmtId="186" formatCode="_(* #,##0_);[Red]_(* \(#,##0\);_(* &quot;-&quot;??_)"/>
    <numFmt numFmtId="187" formatCode="_ * #,##0.00_ ;_ * \-#,##0.00_ ;_ * &quot;-&quot;_ ;_ @_ "/>
    <numFmt numFmtId="188" formatCode="#,##0.00000000_ "/>
    <numFmt numFmtId="189" formatCode="#,##0.00\ &quot;RMB&quot;"/>
    <numFmt numFmtId="190" formatCode="#,##0.00\ &quot;RMB&quot;;\-\ #,##0.00\ &quot;RMB&quot;"/>
    <numFmt numFmtId="191" formatCode="0.00_);[Red]\(0.00\)"/>
    <numFmt numFmtId="192" formatCode="#,##0.000000000_ "/>
    <numFmt numFmtId="193" formatCode="_(* #,##0.0000_);_(* \(#,##0.0000\);_(* &quot;-&quot;??_);_(@_)"/>
    <numFmt numFmtId="194" formatCode="#,##0_);\(#,##0\)"/>
    <numFmt numFmtId="195" formatCode="_ * #,##0.0_ ;_ * \-#,##0.0_ ;_ * &quot;-&quot;_ ;_ @_ "/>
    <numFmt numFmtId="196" formatCode="_ * #,##0.000_ ;_ * \-#,##0.000_ ;_ * &quot;-&quot;_ ;_ @_ "/>
    <numFmt numFmtId="197" formatCode="_ * #,##0.0000_ ;_ * \-#,##0.0000_ ;_ * &quot;-&quot;_ ;_ @_ "/>
    <numFmt numFmtId="198" formatCode="#,##0_ ;[Red]\-#,##0\ "/>
    <numFmt numFmtId="199" formatCode="#,##0.0000000000_ "/>
    <numFmt numFmtId="200" formatCode="#,##0.00_ ;[Red]\-#,##0.00\ "/>
    <numFmt numFmtId="201" formatCode="0.0000000000000000%"/>
    <numFmt numFmtId="202" formatCode="#,##0.00000000000_ "/>
    <numFmt numFmtId="203" formatCode="#,##0_ "/>
    <numFmt numFmtId="204" formatCode="#,##0.0_);\(#,##0.0\)"/>
    <numFmt numFmtId="205" formatCode="0_);\(0\)"/>
    <numFmt numFmtId="206" formatCode="#,##0_%_);\(#,##0\)_%;#,##0_%_);@_%_)"/>
    <numFmt numFmtId="207" formatCode="#,##0_%_);\(#,##0\)_%;**;@_%_)"/>
    <numFmt numFmtId="208" formatCode="#,##0.00_%_);\(#,##0.00\)_%;#,##0.00_%_);@_%_)"/>
    <numFmt numFmtId="209" formatCode="&quot;$&quot;#,##0_%_);\(&quot;$&quot;#,##0\)_%;&quot;$&quot;#,##0_%_);@_%_)"/>
    <numFmt numFmtId="210" formatCode="&quot;$&quot;#,##0.00_%_);\(&quot;$&quot;#,##0.00\)_%;&quot;$&quot;#,##0.00_%_);@_%_)"/>
    <numFmt numFmtId="211" formatCode="m/d/yy_%_)"/>
    <numFmt numFmtId="212" formatCode="0_%_);\(0\)_%;0_%_);@_%_)"/>
    <numFmt numFmtId="213" formatCode="0.0\%_);\(0.0\%\);0.0\%_);@_%_)"/>
    <numFmt numFmtId="214" formatCode="&quot;$&quot;#,##0.0_);\(&quot;$&quot;#,##0.0\)"/>
    <numFmt numFmtId="215" formatCode="0.0\x_)_);&quot;NM&quot;_x_)_);0.0\x_)_);@_%_)"/>
    <numFmt numFmtId="216" formatCode="0\ \ ;\(0\)\ \ \ "/>
    <numFmt numFmtId="217" formatCode="_ * #,##0.0_ ;_ * \-#,##0.0_ ;_ * &quot;-&quot;?_ ;_ @_ "/>
    <numFmt numFmtId="218" formatCode="0.000%"/>
    <numFmt numFmtId="219" formatCode="0.00000%"/>
    <numFmt numFmtId="220" formatCode="_ * #,##0.00000_ ;_ * \-#,##0.00000_ ;_ * &quot;-&quot;?????_ ;_ @_ "/>
    <numFmt numFmtId="221" formatCode="_ * #,##0.000_ ;_ * \-#,##0.000_ ;_ * &quot;-&quot;???_ ;_ @_ "/>
    <numFmt numFmtId="222" formatCode="_ * #,##0.0000000_ ;_ * \-#,##0.0000000_ ;_ * &quot;-&quot;???????_ ;_ @_ "/>
    <numFmt numFmtId="223" formatCode="_(* #,##0.0_);_(* \(#,##0.0\);_(* &quot;-&quot;??_);_(@_)"/>
    <numFmt numFmtId="224" formatCode="#,##0.0\ &quot;RMB&quot;"/>
    <numFmt numFmtId="225" formatCode="#,##0\ &quot;RMB&quot;"/>
    <numFmt numFmtId="226" formatCode="_ * #,##0.0000_ ;_ * \-#,##0.0000_ ;_ * &quot;-&quot;????_ ;_ @_ "/>
    <numFmt numFmtId="227" formatCode="0_);[Red]\(0\)"/>
    <numFmt numFmtId="228" formatCode="_ * #,##0.00000_ ;_ * \-#,##0.00000_ ;_ * &quot;-&quot;_ ;_ @_ "/>
    <numFmt numFmtId="229" formatCode="_(* #,##0.0_);[Red]_(* \(#,##0.0\);_(* &quot;-&quot;??_)"/>
    <numFmt numFmtId="230" formatCode="_(* #,##0.00_);[Red]_(* \(#,##0.00\);_(* &quot;-&quot;??_)"/>
    <numFmt numFmtId="231" formatCode="_(* #,##0.000_);[Red]_(* \(#,##0.000\);_(* &quot;-&quot;??_)"/>
  </numFmts>
  <fonts count="88">
    <font>
      <sz val="10"/>
      <name val="Helv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楷体"/>
      <family val="3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楷体"/>
      <family val="0"/>
    </font>
    <font>
      <b/>
      <sz val="12"/>
      <name val="楷体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Helv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Arial Narrow"/>
      <family val="2"/>
    </font>
    <font>
      <b/>
      <sz val="12"/>
      <name val="宋体"/>
      <family val="0"/>
    </font>
    <font>
      <sz val="9"/>
      <color indexed="12"/>
      <name val="Times New Roman"/>
      <family val="1"/>
    </font>
    <font>
      <sz val="9"/>
      <name val="Helv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9"/>
      <color indexed="10"/>
      <name val="宋体"/>
      <family val="0"/>
    </font>
    <font>
      <b/>
      <sz val="16"/>
      <color indexed="23"/>
      <name val="Helv"/>
      <family val="2"/>
    </font>
    <font>
      <sz val="10"/>
      <color indexed="8"/>
      <name val="Helv"/>
      <family val="2"/>
    </font>
    <font>
      <b/>
      <sz val="10"/>
      <name val="Arial"/>
      <family val="2"/>
    </font>
    <font>
      <sz val="12"/>
      <color indexed="10"/>
      <name val="宋体"/>
      <family val="0"/>
    </font>
    <font>
      <b/>
      <sz val="10"/>
      <color indexed="8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2"/>
    </font>
    <font>
      <i/>
      <sz val="14"/>
      <name val="Palatino"/>
      <family val="1"/>
    </font>
    <font>
      <sz val="8"/>
      <color indexed="12"/>
      <name val="Palatino"/>
      <family val="1"/>
    </font>
    <font>
      <sz val="10"/>
      <name val="Palatino"/>
      <family val="1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俵俽 僑僔僢僋"/>
      <family val="3"/>
    </font>
    <font>
      <b/>
      <sz val="10"/>
      <color indexed="9"/>
      <name val="Arial"/>
      <family val="2"/>
    </font>
    <font>
      <b/>
      <sz val="10"/>
      <color indexed="9"/>
      <name val="黑体"/>
      <family val="0"/>
    </font>
    <font>
      <b/>
      <u val="single"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2"/>
      <name val="Arial"/>
      <family val="2"/>
    </font>
    <font>
      <b/>
      <sz val="10"/>
      <color indexed="9"/>
      <name val="宋体"/>
      <family val="0"/>
    </font>
    <font>
      <i/>
      <sz val="10"/>
      <name val="宋体"/>
      <family val="0"/>
    </font>
    <font>
      <b/>
      <sz val="12"/>
      <name val="Arial "/>
      <family val="0"/>
    </font>
    <font>
      <sz val="12"/>
      <name val="Arial "/>
      <family val="0"/>
    </font>
    <font>
      <sz val="12"/>
      <name val="Helv"/>
      <family val="2"/>
    </font>
    <font>
      <sz val="12"/>
      <color indexed="9"/>
      <name val="楷体"/>
      <family val="3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/>
    </border>
    <border>
      <left style="thick">
        <color indexed="9"/>
      </left>
      <right style="thick">
        <color indexed="9"/>
      </right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ashDot"/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206" fontId="41" fillId="0" borderId="0" applyFont="0" applyFill="0" applyBorder="0" applyAlignment="0" applyProtection="0"/>
    <xf numFmtId="207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41" fillId="0" borderId="0" applyFont="0" applyFill="0" applyBorder="0" applyAlignment="0" applyProtection="0"/>
    <xf numFmtId="210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2" fontId="41" fillId="0" borderId="1" applyNumberFormat="0" applyFont="0" applyFill="0" applyAlignment="0" applyProtection="0"/>
    <xf numFmtId="0" fontId="42" fillId="0" borderId="0" applyFill="0" applyBorder="0" applyProtection="0">
      <alignment horizontal="left"/>
    </xf>
    <xf numFmtId="213" fontId="41" fillId="0" borderId="0" applyFont="0" applyFill="0" applyBorder="0" applyAlignment="0" applyProtection="0"/>
    <xf numFmtId="0" fontId="43" fillId="0" borderId="0" applyProtection="0">
      <alignment horizontal="right"/>
    </xf>
    <xf numFmtId="0" fontId="44" fillId="0" borderId="0" applyProtection="0">
      <alignment horizontal="left"/>
    </xf>
    <xf numFmtId="0" fontId="45" fillId="0" borderId="0" applyProtection="0">
      <alignment horizontal="left"/>
    </xf>
    <xf numFmtId="214" fontId="46" fillId="0" borderId="2" applyFill="0" applyBorder="0" applyAlignment="0" applyProtection="0"/>
    <xf numFmtId="215" fontId="41" fillId="0" borderId="0" applyFont="0" applyFill="0" applyBorder="0" applyAlignment="0" applyProtection="0"/>
    <xf numFmtId="0" fontId="1" fillId="0" borderId="0">
      <alignment vertical="center"/>
      <protection/>
    </xf>
    <xf numFmtId="0" fontId="47" fillId="0" borderId="0">
      <alignment/>
      <protection/>
    </xf>
    <xf numFmtId="1" fontId="48" fillId="0" borderId="0" applyProtection="0">
      <alignment horizontal="right" vertical="center"/>
    </xf>
    <xf numFmtId="0" fontId="49" fillId="0" borderId="3">
      <alignment vertical="center"/>
      <protection/>
    </xf>
    <xf numFmtId="4" fontId="2" fillId="16" borderId="4" applyNumberFormat="0" applyProtection="0">
      <alignment vertical="center"/>
    </xf>
    <xf numFmtId="4" fontId="3" fillId="16" borderId="4" applyNumberFormat="0" applyProtection="0">
      <alignment vertical="center"/>
    </xf>
    <xf numFmtId="4" fontId="2" fillId="16" borderId="4" applyNumberFormat="0" applyProtection="0">
      <alignment horizontal="left" vertical="center" indent="1"/>
    </xf>
    <xf numFmtId="4" fontId="2" fillId="16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4" fontId="2" fillId="3" borderId="4" applyNumberFormat="0" applyProtection="0">
      <alignment horizontal="right" vertical="center"/>
    </xf>
    <xf numFmtId="4" fontId="2" fillId="9" borderId="4" applyNumberFormat="0" applyProtection="0">
      <alignment horizontal="right" vertical="center"/>
    </xf>
    <xf numFmtId="4" fontId="2" fillId="17" borderId="4" applyNumberFormat="0" applyProtection="0">
      <alignment horizontal="right" vertical="center"/>
    </xf>
    <xf numFmtId="4" fontId="2" fillId="11" borderId="4" applyNumberFormat="0" applyProtection="0">
      <alignment horizontal="right" vertical="center"/>
    </xf>
    <xf numFmtId="4" fontId="2" fillId="15" borderId="4" applyNumberFormat="0" applyProtection="0">
      <alignment horizontal="right" vertical="center"/>
    </xf>
    <xf numFmtId="4" fontId="2" fillId="18" borderId="4" applyNumberFormat="0" applyProtection="0">
      <alignment horizontal="right" vertical="center"/>
    </xf>
    <xf numFmtId="4" fontId="2" fillId="19" borderId="4" applyNumberFormat="0" applyProtection="0">
      <alignment horizontal="right" vertical="center"/>
    </xf>
    <xf numFmtId="4" fontId="2" fillId="20" borderId="4" applyNumberFormat="0" applyProtection="0">
      <alignment horizontal="right" vertical="center"/>
    </xf>
    <xf numFmtId="4" fontId="2" fillId="10" borderId="4" applyNumberFormat="0" applyProtection="0">
      <alignment horizontal="right" vertical="center"/>
    </xf>
    <xf numFmtId="4" fontId="5" fillId="21" borderId="4" applyNumberFormat="0" applyProtection="0">
      <alignment horizontal="left" vertical="center" indent="1"/>
    </xf>
    <xf numFmtId="4" fontId="2" fillId="22" borderId="5" applyNumberFormat="0" applyProtection="0">
      <alignment horizontal="left" vertical="center" indent="1"/>
    </xf>
    <xf numFmtId="4" fontId="6" fillId="23" borderId="0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4" fontId="2" fillId="22" borderId="4" applyNumberFormat="0" applyProtection="0">
      <alignment horizontal="left" vertical="center" indent="1"/>
    </xf>
    <xf numFmtId="4" fontId="2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5" borderId="4" applyNumberFormat="0" applyProtection="0">
      <alignment horizontal="left" vertical="center" indent="1"/>
    </xf>
    <xf numFmtId="0" fontId="4" fillId="25" borderId="4" applyNumberFormat="0" applyProtection="0">
      <alignment horizontal="left" vertical="center" indent="1"/>
    </xf>
    <xf numFmtId="0" fontId="4" fillId="26" borderId="4" applyNumberFormat="0" applyProtection="0">
      <alignment horizontal="left" vertical="center" indent="1"/>
    </xf>
    <xf numFmtId="0" fontId="4" fillId="26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4" fontId="2" fillId="27" borderId="4" applyNumberFormat="0" applyProtection="0">
      <alignment vertical="center"/>
    </xf>
    <xf numFmtId="4" fontId="3" fillId="27" borderId="4" applyNumberFormat="0" applyProtection="0">
      <alignment vertical="center"/>
    </xf>
    <xf numFmtId="4" fontId="2" fillId="27" borderId="4" applyNumberFormat="0" applyProtection="0">
      <alignment horizontal="left" vertical="center" indent="1"/>
    </xf>
    <xf numFmtId="4" fontId="2" fillId="27" borderId="4" applyNumberFormat="0" applyProtection="0">
      <alignment horizontal="left" vertical="center" indent="1"/>
    </xf>
    <xf numFmtId="4" fontId="2" fillId="22" borderId="4" applyNumberFormat="0" applyProtection="0">
      <alignment horizontal="right" vertical="center"/>
    </xf>
    <xf numFmtId="4" fontId="3" fillId="22" borderId="4" applyNumberFormat="0" applyProtection="0">
      <alignment horizontal="right" vertical="center"/>
    </xf>
    <xf numFmtId="0" fontId="4" fillId="2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0" fontId="7" fillId="0" borderId="0">
      <alignment/>
      <protection/>
    </xf>
    <xf numFmtId="4" fontId="8" fillId="22" borderId="4" applyNumberFormat="0" applyProtection="0">
      <alignment horizontal="right" vertical="center"/>
    </xf>
    <xf numFmtId="0" fontId="50" fillId="0" borderId="0" applyBorder="0" applyProtection="0">
      <alignment vertical="center"/>
    </xf>
    <xf numFmtId="212" fontId="50" fillId="0" borderId="6" applyBorder="0" applyProtection="0">
      <alignment horizontal="right" vertical="center"/>
    </xf>
    <xf numFmtId="0" fontId="51" fillId="28" borderId="0" applyBorder="0" applyProtection="0">
      <alignment horizontal="centerContinuous" vertical="center"/>
    </xf>
    <xf numFmtId="0" fontId="51" fillId="29" borderId="6" applyBorder="0" applyProtection="0">
      <alignment horizontal="centerContinuous" vertical="center"/>
    </xf>
    <xf numFmtId="0" fontId="52" fillId="0" borderId="0">
      <alignment/>
      <protection/>
    </xf>
    <xf numFmtId="0" fontId="47" fillId="0" borderId="0">
      <alignment/>
      <protection/>
    </xf>
    <xf numFmtId="0" fontId="53" fillId="0" borderId="0" applyFill="0" applyBorder="0" applyProtection="0">
      <alignment horizontal="left"/>
    </xf>
    <xf numFmtId="0" fontId="42" fillId="0" borderId="7" applyFill="0" applyBorder="0" applyProtection="0">
      <alignment horizontal="left" vertical="top"/>
    </xf>
    <xf numFmtId="0" fontId="32" fillId="0" borderId="0">
      <alignment horizontal="centerContinuous"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 horizontal="fill"/>
      <protection/>
    </xf>
    <xf numFmtId="216" fontId="57" fillId="0" borderId="6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1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26" borderId="12" applyNumberFormat="0" applyAlignment="0" applyProtection="0"/>
    <xf numFmtId="0" fontId="67" fillId="25" borderId="13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10" fillId="0" borderId="0">
      <alignment/>
      <protection/>
    </xf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40" fillId="30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71" fillId="16" borderId="0" applyNumberFormat="0" applyBorder="0" applyAlignment="0" applyProtection="0"/>
    <xf numFmtId="0" fontId="72" fillId="26" borderId="4" applyNumberFormat="0" applyAlignment="0" applyProtection="0"/>
    <xf numFmtId="0" fontId="73" fillId="7" borderId="12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4" fillId="0" borderId="0">
      <alignment/>
      <protection/>
    </xf>
    <xf numFmtId="0" fontId="1" fillId="27" borderId="15" applyNumberFormat="0" applyFont="0" applyAlignment="0" applyProtection="0"/>
  </cellStyleXfs>
  <cellXfs count="322">
    <xf numFmtId="0" fontId="0" fillId="0" borderId="0" xfId="0" applyAlignment="1">
      <alignment/>
    </xf>
    <xf numFmtId="0" fontId="10" fillId="0" borderId="0" xfId="0" applyFont="1" applyAlignment="1">
      <alignment/>
    </xf>
    <xf numFmtId="182" fontId="14" fillId="26" borderId="0" xfId="149" applyNumberFormat="1" applyFont="1" applyFill="1" applyAlignment="1">
      <alignment/>
    </xf>
    <xf numFmtId="0" fontId="14" fillId="0" borderId="0" xfId="0" applyFont="1" applyAlignment="1">
      <alignment/>
    </xf>
    <xf numFmtId="182" fontId="14" fillId="8" borderId="0" xfId="149" applyNumberFormat="1" applyFont="1" applyFill="1" applyAlignment="1">
      <alignment/>
    </xf>
    <xf numFmtId="0" fontId="14" fillId="8" borderId="0" xfId="0" applyFont="1" applyFill="1" applyAlignment="1">
      <alignment/>
    </xf>
    <xf numFmtId="0" fontId="15" fillId="0" borderId="0" xfId="0" applyFont="1" applyAlignment="1">
      <alignment horizontal="left" vertical="top" wrapText="1"/>
    </xf>
    <xf numFmtId="182" fontId="10" fillId="26" borderId="0" xfId="149" applyNumberFormat="1" applyFont="1" applyFill="1" applyAlignment="1">
      <alignment/>
    </xf>
    <xf numFmtId="182" fontId="10" fillId="26" borderId="0" xfId="149" applyNumberFormat="1" applyFont="1" applyFill="1" applyAlignment="1">
      <alignment horizontal="center"/>
    </xf>
    <xf numFmtId="182" fontId="10" fillId="8" borderId="0" xfId="149" applyNumberFormat="1" applyFont="1" applyFill="1" applyAlignment="1">
      <alignment/>
    </xf>
    <xf numFmtId="182" fontId="10" fillId="8" borderId="0" xfId="149" applyNumberFormat="1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0" fillId="8" borderId="0" xfId="0" applyFont="1" applyFill="1" applyAlignment="1">
      <alignment/>
    </xf>
    <xf numFmtId="182" fontId="10" fillId="0" borderId="0" xfId="0" applyNumberFormat="1" applyFont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184" fontId="10" fillId="0" borderId="0" xfId="113" applyNumberFormat="1" applyFont="1" applyAlignment="1">
      <alignment/>
    </xf>
    <xf numFmtId="9" fontId="10" fillId="0" borderId="0" xfId="113" applyFont="1" applyAlignment="1">
      <alignment/>
    </xf>
    <xf numFmtId="0" fontId="1" fillId="0" borderId="0" xfId="0" applyFont="1" applyFill="1" applyAlignment="1">
      <alignment/>
    </xf>
    <xf numFmtId="182" fontId="10" fillId="0" borderId="0" xfId="149" applyNumberFormat="1" applyFont="1" applyAlignment="1">
      <alignment/>
    </xf>
    <xf numFmtId="182" fontId="10" fillId="0" borderId="0" xfId="149" applyNumberFormat="1" applyFont="1" applyFill="1" applyAlignment="1">
      <alignment/>
    </xf>
    <xf numFmtId="184" fontId="10" fillId="26" borderId="0" xfId="113" applyNumberFormat="1" applyFont="1" applyFill="1" applyAlignment="1">
      <alignment/>
    </xf>
    <xf numFmtId="4" fontId="0" fillId="0" borderId="0" xfId="15" applyNumberFormat="1">
      <alignment/>
      <protection/>
    </xf>
    <xf numFmtId="4" fontId="0" fillId="0" borderId="16" xfId="15" applyNumberFormat="1" applyBorder="1">
      <alignment/>
      <protection/>
    </xf>
    <xf numFmtId="4" fontId="24" fillId="0" borderId="0" xfId="15" applyNumberFormat="1" applyFont="1">
      <alignment/>
      <protection/>
    </xf>
    <xf numFmtId="0" fontId="24" fillId="0" borderId="0" xfId="15" applyFont="1" applyAlignment="1">
      <alignment horizontal="center"/>
      <protection/>
    </xf>
    <xf numFmtId="0" fontId="23" fillId="0" borderId="0" xfId="0" applyFont="1" applyAlignment="1">
      <alignment/>
    </xf>
    <xf numFmtId="0" fontId="17" fillId="0" borderId="17" xfId="126" applyFont="1" applyBorder="1" applyAlignment="1">
      <alignment horizontal="center"/>
      <protection/>
    </xf>
    <xf numFmtId="0" fontId="1" fillId="0" borderId="17" xfId="126" applyFont="1" applyBorder="1" applyAlignment="1">
      <alignment horizontal="center"/>
      <protection/>
    </xf>
    <xf numFmtId="43" fontId="23" fillId="0" borderId="0" xfId="146" applyFont="1" applyAlignment="1">
      <alignment/>
    </xf>
    <xf numFmtId="0" fontId="24" fillId="0" borderId="0" xfId="15" applyFont="1" applyAlignment="1">
      <alignment horizontal="left"/>
      <protection/>
    </xf>
    <xf numFmtId="0" fontId="26" fillId="0" borderId="17" xfId="126" applyFont="1" applyBorder="1" quotePrefix="1">
      <alignment/>
      <protection/>
    </xf>
    <xf numFmtId="0" fontId="1" fillId="0" borderId="17" xfId="126" applyFont="1" applyBorder="1">
      <alignment/>
      <protection/>
    </xf>
    <xf numFmtId="0" fontId="1" fillId="0" borderId="17" xfId="126" applyFont="1" applyBorder="1" applyAlignment="1">
      <alignment/>
      <protection/>
    </xf>
    <xf numFmtId="43" fontId="27" fillId="0" borderId="17" xfId="146" applyFont="1" applyBorder="1" applyAlignment="1">
      <alignment/>
    </xf>
    <xf numFmtId="184" fontId="1" fillId="0" borderId="17" xfId="113" applyNumberFormat="1" applyFont="1" applyBorder="1" applyAlignment="1">
      <alignment horizontal="right"/>
    </xf>
    <xf numFmtId="9" fontId="1" fillId="0" borderId="17" xfId="113" applyFont="1" applyBorder="1" applyAlignment="1">
      <alignment horizontal="right"/>
    </xf>
    <xf numFmtId="184" fontId="1" fillId="0" borderId="0" xfId="113" applyNumberFormat="1" applyAlignment="1">
      <alignment/>
    </xf>
    <xf numFmtId="0" fontId="28" fillId="0" borderId="17" xfId="126" applyFont="1" applyFill="1" applyBorder="1" applyAlignment="1">
      <alignment horizontal="center"/>
      <protection/>
    </xf>
    <xf numFmtId="0" fontId="1" fillId="0" borderId="0" xfId="126" applyFont="1" applyFill="1" applyBorder="1" applyAlignment="1">
      <alignment/>
      <protection/>
    </xf>
    <xf numFmtId="43" fontId="27" fillId="0" borderId="0" xfId="146" applyFont="1" applyBorder="1" applyAlignment="1">
      <alignment/>
    </xf>
    <xf numFmtId="9" fontId="1" fillId="0" borderId="0" xfId="113" applyFont="1" applyBorder="1" applyAlignment="1">
      <alignment horizontal="center"/>
    </xf>
    <xf numFmtId="0" fontId="1" fillId="0" borderId="0" xfId="126" applyFont="1">
      <alignment/>
      <protection/>
    </xf>
    <xf numFmtId="43" fontId="1" fillId="0" borderId="0" xfId="126" applyNumberFormat="1" applyFont="1">
      <alignment/>
      <protection/>
    </xf>
    <xf numFmtId="43" fontId="27" fillId="0" borderId="17" xfId="146" applyFont="1" applyFill="1" applyBorder="1" applyAlignment="1">
      <alignment/>
    </xf>
    <xf numFmtId="184" fontId="1" fillId="0" borderId="17" xfId="113" applyNumberFormat="1" applyFont="1" applyFill="1" applyBorder="1" applyAlignment="1">
      <alignment horizontal="right"/>
    </xf>
    <xf numFmtId="184" fontId="1" fillId="0" borderId="0" xfId="113" applyNumberFormat="1" applyFont="1" applyBorder="1" applyAlignment="1">
      <alignment horizontal="right"/>
    </xf>
    <xf numFmtId="0" fontId="29" fillId="0" borderId="17" xfId="126" applyFont="1" applyBorder="1" quotePrefix="1">
      <alignment/>
      <protection/>
    </xf>
    <xf numFmtId="0" fontId="30" fillId="0" borderId="0" xfId="126" applyFont="1">
      <alignment/>
      <protection/>
    </xf>
    <xf numFmtId="0" fontId="17" fillId="0" borderId="17" xfId="126" applyFont="1" applyBorder="1">
      <alignment/>
      <protection/>
    </xf>
    <xf numFmtId="0" fontId="17" fillId="0" borderId="17" xfId="126" applyFont="1" applyBorder="1" applyAlignment="1">
      <alignment/>
      <protection/>
    </xf>
    <xf numFmtId="43" fontId="31" fillId="0" borderId="17" xfId="146" applyFont="1" applyFill="1" applyBorder="1" applyAlignment="1">
      <alignment/>
    </xf>
    <xf numFmtId="184" fontId="17" fillId="0" borderId="17" xfId="113" applyNumberFormat="1" applyFont="1" applyBorder="1" applyAlignment="1">
      <alignment horizontal="right"/>
    </xf>
    <xf numFmtId="43" fontId="31" fillId="0" borderId="17" xfId="146" applyFont="1" applyBorder="1" applyAlignment="1">
      <alignment/>
    </xf>
    <xf numFmtId="184" fontId="17" fillId="0" borderId="17" xfId="113" applyNumberFormat="1" applyFont="1" applyFill="1" applyBorder="1" applyAlignment="1">
      <alignment horizontal="right"/>
    </xf>
    <xf numFmtId="0" fontId="21" fillId="0" borderId="17" xfId="126" applyFont="1" applyFill="1" applyBorder="1" applyAlignment="1">
      <alignment horizontal="center"/>
      <protection/>
    </xf>
    <xf numFmtId="0" fontId="30" fillId="0" borderId="17" xfId="126" applyFont="1" applyBorder="1">
      <alignment/>
      <protection/>
    </xf>
    <xf numFmtId="0" fontId="17" fillId="31" borderId="17" xfId="126" applyFont="1" applyFill="1" applyBorder="1" applyAlignment="1" applyProtection="1">
      <alignment horizontal="center"/>
      <protection hidden="1"/>
    </xf>
    <xf numFmtId="43" fontId="30" fillId="0" borderId="17" xfId="126" applyNumberFormat="1" applyFont="1" applyBorder="1">
      <alignment/>
      <protection/>
    </xf>
    <xf numFmtId="184" fontId="17" fillId="0" borderId="17" xfId="113" applyNumberFormat="1" applyFont="1" applyBorder="1" applyAlignment="1">
      <alignment/>
    </xf>
    <xf numFmtId="0" fontId="17" fillId="0" borderId="17" xfId="126" applyFont="1" applyFill="1" applyBorder="1" applyAlignment="1">
      <alignment/>
      <protection/>
    </xf>
    <xf numFmtId="0" fontId="0" fillId="0" borderId="0" xfId="15" applyFill="1">
      <alignment/>
      <protection/>
    </xf>
    <xf numFmtId="0" fontId="0" fillId="0" borderId="0" xfId="126">
      <alignment/>
      <protection/>
    </xf>
    <xf numFmtId="176" fontId="0" fillId="0" borderId="0" xfId="126" applyNumberFormat="1">
      <alignment/>
      <protection/>
    </xf>
    <xf numFmtId="43" fontId="0" fillId="0" borderId="0" xfId="126" applyNumberFormat="1">
      <alignment/>
      <protection/>
    </xf>
    <xf numFmtId="43" fontId="0" fillId="0" borderId="0" xfId="126" applyNumberFormat="1" applyBorder="1">
      <alignment/>
      <protection/>
    </xf>
    <xf numFmtId="0" fontId="0" fillId="0" borderId="0" xfId="126" applyBorder="1">
      <alignment/>
      <protection/>
    </xf>
    <xf numFmtId="0" fontId="26" fillId="0" borderId="17" xfId="126" applyFont="1" applyFill="1" applyBorder="1" quotePrefix="1">
      <alignment/>
      <protection/>
    </xf>
    <xf numFmtId="0" fontId="1" fillId="0" borderId="17" xfId="126" applyFont="1" applyFill="1" applyBorder="1" applyAlignment="1">
      <alignment horizontal="center"/>
      <protection/>
    </xf>
    <xf numFmtId="0" fontId="22" fillId="0" borderId="0" xfId="15" applyFont="1" applyAlignment="1">
      <alignment horizontal="left"/>
      <protection/>
    </xf>
    <xf numFmtId="0" fontId="23" fillId="0" borderId="17" xfId="126" applyFont="1" applyBorder="1">
      <alignment/>
      <protection/>
    </xf>
    <xf numFmtId="43" fontId="1" fillId="0" borderId="0" xfId="113" applyNumberFormat="1" applyFont="1" applyBorder="1" applyAlignment="1">
      <alignment horizontal="center"/>
    </xf>
    <xf numFmtId="0" fontId="1" fillId="0" borderId="17" xfId="126" applyFont="1" applyFill="1" applyBorder="1">
      <alignment/>
      <protection/>
    </xf>
    <xf numFmtId="0" fontId="1" fillId="0" borderId="17" xfId="126" applyFont="1" applyFill="1" applyBorder="1" applyAlignment="1">
      <alignment/>
      <protection/>
    </xf>
    <xf numFmtId="9" fontId="1" fillId="0" borderId="17" xfId="113" applyFont="1" applyFill="1" applyBorder="1" applyAlignment="1">
      <alignment horizontal="right"/>
    </xf>
    <xf numFmtId="9" fontId="17" fillId="0" borderId="17" xfId="113" applyFont="1" applyBorder="1" applyAlignment="1">
      <alignment horizontal="right"/>
    </xf>
    <xf numFmtId="0" fontId="21" fillId="0" borderId="0" xfId="126" applyFont="1" applyFill="1" applyBorder="1" applyAlignment="1">
      <alignment horizontal="center"/>
      <protection/>
    </xf>
    <xf numFmtId="43" fontId="31" fillId="0" borderId="0" xfId="146" applyFont="1" applyBorder="1" applyAlignment="1">
      <alignment/>
    </xf>
    <xf numFmtId="184" fontId="17" fillId="0" borderId="0" xfId="113" applyNumberFormat="1" applyFont="1" applyBorder="1" applyAlignment="1">
      <alignment horizontal="right"/>
    </xf>
    <xf numFmtId="9" fontId="17" fillId="0" borderId="0" xfId="113" applyFont="1" applyBorder="1" applyAlignment="1">
      <alignment horizontal="right"/>
    </xf>
    <xf numFmtId="0" fontId="30" fillId="0" borderId="17" xfId="126" applyFont="1" applyBorder="1" applyAlignment="1">
      <alignment horizontal="center"/>
      <protection/>
    </xf>
    <xf numFmtId="43" fontId="30" fillId="0" borderId="18" xfId="126" applyNumberFormat="1" applyFont="1" applyFill="1" applyBorder="1">
      <alignment/>
      <protection/>
    </xf>
    <xf numFmtId="0" fontId="35" fillId="22" borderId="4" xfId="80" applyFont="1" applyProtection="1" quotePrefix="1">
      <alignment horizontal="left" vertical="center" indent="1"/>
      <protection locked="0"/>
    </xf>
    <xf numFmtId="0" fontId="2" fillId="22" borderId="4" xfId="80" applyProtection="1" quotePrefix="1">
      <alignment horizontal="left" vertical="center" indent="1"/>
      <protection locked="0"/>
    </xf>
    <xf numFmtId="0" fontId="4" fillId="2" borderId="4" xfId="97" applyProtection="1" quotePrefix="1">
      <alignment horizontal="left" vertical="center" indent="1"/>
      <protection locked="0"/>
    </xf>
    <xf numFmtId="0" fontId="30" fillId="0" borderId="0" xfId="126" applyFont="1" applyBorder="1">
      <alignment/>
      <protection/>
    </xf>
    <xf numFmtId="0" fontId="33" fillId="0" borderId="19" xfId="126" applyFont="1" applyFill="1" applyBorder="1" applyAlignment="1">
      <alignment/>
      <protection/>
    </xf>
    <xf numFmtId="43" fontId="33" fillId="0" borderId="0" xfId="126" applyNumberFormat="1" applyFont="1" applyBorder="1">
      <alignment/>
      <protection/>
    </xf>
    <xf numFmtId="0" fontId="33" fillId="0" borderId="0" xfId="126" applyFont="1">
      <alignment/>
      <protection/>
    </xf>
    <xf numFmtId="0" fontId="17" fillId="0" borderId="0" xfId="126" applyFont="1" applyBorder="1" applyAlignment="1">
      <alignment/>
      <protection/>
    </xf>
    <xf numFmtId="43" fontId="33" fillId="0" borderId="0" xfId="126" applyNumberFormat="1" applyFont="1">
      <alignment/>
      <protection/>
    </xf>
    <xf numFmtId="43" fontId="30" fillId="0" borderId="0" xfId="126" applyNumberFormat="1" applyFont="1">
      <alignment/>
      <protection/>
    </xf>
    <xf numFmtId="0" fontId="17" fillId="0" borderId="0" xfId="126" applyFont="1">
      <alignment/>
      <protection/>
    </xf>
    <xf numFmtId="0" fontId="34" fillId="0" borderId="0" xfId="98" applyFont="1" quotePrefix="1">
      <alignment/>
      <protection/>
    </xf>
    <xf numFmtId="0" fontId="7" fillId="0" borderId="0" xfId="98">
      <alignment/>
      <protection/>
    </xf>
    <xf numFmtId="0" fontId="0" fillId="2" borderId="4" xfId="66" applyFont="1" applyProtection="1">
      <alignment horizontal="left" vertical="center" indent="1"/>
      <protection locked="0"/>
    </xf>
    <xf numFmtId="0" fontId="2" fillId="22" borderId="5" xfId="77" applyProtection="1" quotePrefix="1">
      <alignment horizontal="left" vertical="center" indent="1"/>
      <protection locked="0"/>
    </xf>
    <xf numFmtId="0" fontId="5" fillId="21" borderId="4" xfId="76" applyProtection="1" quotePrefix="1">
      <alignment horizontal="left" vertical="center" indent="1"/>
      <protection locked="0"/>
    </xf>
    <xf numFmtId="0" fontId="35" fillId="24" borderId="4" xfId="81" applyFont="1" applyProtection="1">
      <alignment horizontal="left" vertical="center" indent="1"/>
      <protection locked="0"/>
    </xf>
    <xf numFmtId="0" fontId="4" fillId="24" borderId="4" xfId="82" applyAlignment="1" applyProtection="1" quotePrefix="1">
      <alignment horizontal="left" vertical="center" indent="2"/>
      <protection locked="0"/>
    </xf>
    <xf numFmtId="4" fontId="2" fillId="22" borderId="4" xfId="94" applyNumberFormat="1" applyProtection="1">
      <alignment horizontal="right" vertical="center"/>
      <protection locked="0"/>
    </xf>
    <xf numFmtId="0" fontId="4" fillId="25" borderId="4" xfId="84" applyAlignment="1" applyProtection="1" quotePrefix="1">
      <alignment horizontal="left" vertical="center" indent="2"/>
      <protection locked="0"/>
    </xf>
    <xf numFmtId="0" fontId="4" fillId="24" borderId="4" xfId="82" applyProtection="1" quotePrefix="1">
      <alignment horizontal="left" vertical="center" indent="1"/>
      <protection locked="0"/>
    </xf>
    <xf numFmtId="0" fontId="4" fillId="2" borderId="4" xfId="96" applyProtection="1" quotePrefix="1">
      <alignment horizontal="left" vertical="center" indent="1"/>
      <protection locked="0"/>
    </xf>
    <xf numFmtId="4" fontId="3" fillId="22" borderId="4" xfId="95" applyNumberFormat="1" applyProtection="1">
      <alignment horizontal="right" vertical="center"/>
      <protection locked="0"/>
    </xf>
    <xf numFmtId="43" fontId="2" fillId="22" borderId="4" xfId="146" applyAlignment="1">
      <alignment horizontal="right" vertical="center"/>
    </xf>
    <xf numFmtId="4" fontId="2" fillId="22" borderId="4" xfId="94" applyNumberFormat="1">
      <alignment horizontal="right" vertical="center"/>
    </xf>
    <xf numFmtId="4" fontId="3" fillId="22" borderId="4" xfId="95" applyNumberFormat="1">
      <alignment horizontal="right" vertical="center"/>
    </xf>
    <xf numFmtId="0" fontId="2" fillId="22" borderId="4" xfId="94">
      <alignment horizontal="right" vertical="center"/>
    </xf>
    <xf numFmtId="0" fontId="23" fillId="2" borderId="4" xfId="66" applyFont="1" applyProtection="1">
      <alignment horizontal="left" vertical="center" indent="1"/>
      <protection locked="0"/>
    </xf>
    <xf numFmtId="0" fontId="4" fillId="2" borderId="4" xfId="97" quotePrefix="1">
      <alignment horizontal="left" vertical="center" indent="1"/>
    </xf>
    <xf numFmtId="0" fontId="23" fillId="2" borderId="4" xfId="97" applyFont="1" applyProtection="1">
      <alignment horizontal="left" vertical="center" indent="1"/>
      <protection locked="0"/>
    </xf>
    <xf numFmtId="0" fontId="38" fillId="21" borderId="4" xfId="76" applyFont="1" applyProtection="1" quotePrefix="1">
      <alignment horizontal="left" vertical="center" indent="1"/>
      <protection locked="0"/>
    </xf>
    <xf numFmtId="0" fontId="23" fillId="2" borderId="4" xfId="97" applyFont="1" quotePrefix="1">
      <alignment horizontal="left" vertical="center" indent="1"/>
    </xf>
    <xf numFmtId="0" fontId="23" fillId="2" borderId="4" xfId="97" applyFont="1">
      <alignment horizontal="left" vertical="center" indent="1"/>
    </xf>
    <xf numFmtId="0" fontId="4" fillId="25" borderId="4" xfId="84" applyAlignment="1" applyProtection="1" quotePrefix="1">
      <alignment horizontal="left" vertical="center" indent="4"/>
      <protection locked="0"/>
    </xf>
    <xf numFmtId="0" fontId="4" fillId="26" borderId="4" xfId="86" applyAlignment="1" applyProtection="1" quotePrefix="1">
      <alignment horizontal="left" vertical="center" indent="4"/>
      <protection locked="0"/>
    </xf>
    <xf numFmtId="43" fontId="37" fillId="0" borderId="0" xfId="146" applyFont="1" applyAlignment="1">
      <alignment vertical="center"/>
    </xf>
    <xf numFmtId="43" fontId="0" fillId="0" borderId="0" xfId="0" applyNumberFormat="1" applyAlignment="1">
      <alignment/>
    </xf>
    <xf numFmtId="0" fontId="0" fillId="0" borderId="0" xfId="15">
      <alignment/>
      <protection/>
    </xf>
    <xf numFmtId="0" fontId="4" fillId="2" borderId="4" xfId="66" applyProtection="1" quotePrefix="1">
      <alignment horizontal="left" vertical="center" indent="1"/>
      <protection locked="0"/>
    </xf>
    <xf numFmtId="0" fontId="4" fillId="2" borderId="4" xfId="96" applyFont="1" applyProtection="1">
      <alignment horizontal="left" vertical="center" indent="1"/>
      <protection locked="0"/>
    </xf>
    <xf numFmtId="9" fontId="2" fillId="22" borderId="4" xfId="113" applyAlignment="1" applyProtection="1">
      <alignment horizontal="right" vertical="center"/>
      <protection locked="0"/>
    </xf>
    <xf numFmtId="0" fontId="2" fillId="16" borderId="4" xfId="64" applyProtection="1" quotePrefix="1">
      <alignment horizontal="left" vertical="center" indent="1"/>
      <protection locked="0"/>
    </xf>
    <xf numFmtId="4" fontId="2" fillId="16" borderId="4" xfId="62" applyNumberFormat="1" applyProtection="1">
      <alignment vertical="center"/>
      <protection locked="0"/>
    </xf>
    <xf numFmtId="184" fontId="2" fillId="22" borderId="4" xfId="113" applyNumberFormat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15" applyProtection="1">
      <alignment/>
      <protection locked="0"/>
    </xf>
    <xf numFmtId="0" fontId="0" fillId="0" borderId="0" xfId="15" applyProtection="1" quotePrefix="1">
      <alignment/>
      <protection locked="0"/>
    </xf>
    <xf numFmtId="4" fontId="25" fillId="22" borderId="4" xfId="94" applyNumberFormat="1" applyFont="1">
      <alignment horizontal="right" vertical="center"/>
    </xf>
    <xf numFmtId="0" fontId="23" fillId="24" borderId="0" xfId="82" applyFont="1" applyBorder="1">
      <alignment horizontal="left" vertical="center" indent="1"/>
    </xf>
    <xf numFmtId="0" fontId="0" fillId="0" borderId="0" xfId="0" applyFill="1" applyAlignment="1">
      <alignment/>
    </xf>
    <xf numFmtId="43" fontId="10" fillId="0" borderId="0" xfId="0" applyNumberFormat="1" applyFont="1" applyAlignment="1">
      <alignment/>
    </xf>
    <xf numFmtId="10" fontId="10" fillId="26" borderId="0" xfId="113" applyNumberFormat="1" applyFont="1" applyFill="1" applyAlignment="1">
      <alignment/>
    </xf>
    <xf numFmtId="182" fontId="14" fillId="8" borderId="0" xfId="149" applyNumberFormat="1" applyFont="1" applyFill="1" applyAlignment="1" quotePrefix="1">
      <alignment/>
    </xf>
    <xf numFmtId="182" fontId="14" fillId="26" borderId="0" xfId="149" applyNumberFormat="1" applyFont="1" applyFill="1" applyAlignment="1" quotePrefix="1">
      <alignment/>
    </xf>
    <xf numFmtId="0" fontId="14" fillId="8" borderId="0" xfId="0" applyFont="1" applyFill="1" applyAlignment="1" quotePrefix="1">
      <alignment/>
    </xf>
    <xf numFmtId="43" fontId="0" fillId="0" borderId="0" xfId="146" applyAlignment="1">
      <alignment/>
    </xf>
    <xf numFmtId="43" fontId="0" fillId="0" borderId="0" xfId="146" applyFill="1" applyAlignment="1">
      <alignment/>
    </xf>
    <xf numFmtId="0" fontId="0" fillId="0" borderId="0" xfId="0" applyFont="1" applyAlignment="1">
      <alignment/>
    </xf>
    <xf numFmtId="0" fontId="0" fillId="0" borderId="0" xfId="126" applyFill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182" fontId="14" fillId="0" borderId="0" xfId="149" applyNumberFormat="1" applyFont="1" applyFill="1" applyAlignment="1">
      <alignment/>
    </xf>
    <xf numFmtId="182" fontId="14" fillId="0" borderId="0" xfId="149" applyNumberFormat="1" applyFont="1" applyFill="1" applyAlignment="1">
      <alignment/>
    </xf>
    <xf numFmtId="10" fontId="10" fillId="0" borderId="0" xfId="113" applyNumberFormat="1" applyFont="1" applyFill="1" applyAlignment="1">
      <alignment/>
    </xf>
    <xf numFmtId="193" fontId="10" fillId="0" borderId="0" xfId="149" applyNumberFormat="1" applyFont="1" applyFill="1" applyAlignment="1">
      <alignment/>
    </xf>
    <xf numFmtId="182" fontId="14" fillId="3" borderId="0" xfId="149" applyNumberFormat="1" applyFont="1" applyFill="1" applyAlignment="1">
      <alignment/>
    </xf>
    <xf numFmtId="182" fontId="10" fillId="3" borderId="0" xfId="149" applyNumberFormat="1" applyFont="1" applyFill="1" applyAlignment="1">
      <alignment/>
    </xf>
    <xf numFmtId="182" fontId="14" fillId="3" borderId="0" xfId="149" applyNumberFormat="1" applyFont="1" applyFill="1" applyAlignment="1">
      <alignment/>
    </xf>
    <xf numFmtId="10" fontId="10" fillId="3" borderId="0" xfId="113" applyNumberFormat="1" applyFont="1" applyFill="1" applyAlignment="1">
      <alignment/>
    </xf>
    <xf numFmtId="193" fontId="10" fillId="3" borderId="0" xfId="149" applyNumberFormat="1" applyFont="1" applyFill="1" applyAlignment="1">
      <alignment/>
    </xf>
    <xf numFmtId="182" fontId="10" fillId="3" borderId="0" xfId="149" applyNumberFormat="1" applyFont="1" applyFill="1" applyAlignment="1" quotePrefix="1">
      <alignment horizont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28" borderId="21" xfId="0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49" fontId="75" fillId="32" borderId="22" xfId="0" applyNumberFormat="1" applyFont="1" applyFill="1" applyBorder="1" applyAlignment="1">
      <alignment horizontal="center" vertical="center" wrapText="1"/>
    </xf>
    <xf numFmtId="49" fontId="77" fillId="28" borderId="23" xfId="0" applyNumberFormat="1" applyFont="1" applyFill="1" applyBorder="1" applyAlignment="1">
      <alignment horizontal="center" vertical="center" wrapText="1"/>
    </xf>
    <xf numFmtId="49" fontId="75" fillId="32" borderId="24" xfId="0" applyNumberFormat="1" applyFont="1" applyFill="1" applyBorder="1" applyAlignment="1">
      <alignment horizontal="center" vertical="center" wrapText="1"/>
    </xf>
    <xf numFmtId="49" fontId="77" fillId="28" borderId="2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/>
    </xf>
    <xf numFmtId="49" fontId="75" fillId="33" borderId="20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5" fontId="4" fillId="33" borderId="22" xfId="146" applyNumberFormat="1" applyFont="1" applyFill="1" applyBorder="1" applyAlignment="1">
      <alignment horizontal="right" vertical="center"/>
    </xf>
    <xf numFmtId="184" fontId="4" fillId="0" borderId="23" xfId="113" applyNumberFormat="1" applyFont="1" applyFill="1" applyBorder="1" applyAlignment="1">
      <alignment horizontal="right" vertical="center"/>
    </xf>
    <xf numFmtId="0" fontId="78" fillId="0" borderId="27" xfId="0" applyFont="1" applyFill="1" applyBorder="1" applyAlignment="1">
      <alignment vertical="center"/>
    </xf>
    <xf numFmtId="184" fontId="79" fillId="0" borderId="0" xfId="0" applyNumberFormat="1" applyFont="1" applyFill="1" applyBorder="1" applyAlignment="1">
      <alignment horizontal="right" wrapText="1"/>
    </xf>
    <xf numFmtId="184" fontId="78" fillId="33" borderId="22" xfId="113" applyNumberFormat="1" applyFont="1" applyFill="1" applyBorder="1" applyAlignment="1">
      <alignment horizontal="right" vertical="center"/>
    </xf>
    <xf numFmtId="184" fontId="78" fillId="0" borderId="0" xfId="0" applyNumberFormat="1" applyFont="1" applyFill="1" applyBorder="1" applyAlignment="1">
      <alignment horizontal="right" wrapText="1"/>
    </xf>
    <xf numFmtId="184" fontId="4" fillId="33" borderId="22" xfId="113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wrapText="1"/>
    </xf>
    <xf numFmtId="184" fontId="4" fillId="0" borderId="28" xfId="113" applyNumberFormat="1" applyFont="1" applyFill="1" applyBorder="1" applyAlignment="1">
      <alignment horizontal="right" vertical="center"/>
    </xf>
    <xf numFmtId="184" fontId="78" fillId="0" borderId="27" xfId="0" applyNumberFormat="1" applyFont="1" applyFill="1" applyBorder="1" applyAlignment="1">
      <alignment wrapText="1"/>
    </xf>
    <xf numFmtId="184" fontId="78" fillId="0" borderId="0" xfId="0" applyNumberFormat="1" applyFont="1" applyFill="1" applyBorder="1" applyAlignment="1">
      <alignment wrapText="1"/>
    </xf>
    <xf numFmtId="0" fontId="78" fillId="0" borderId="29" xfId="0" applyFont="1" applyBorder="1" applyAlignment="1">
      <alignment/>
    </xf>
    <xf numFmtId="0" fontId="80" fillId="0" borderId="0" xfId="0" applyFont="1" applyFill="1" applyBorder="1" applyAlignment="1">
      <alignment/>
    </xf>
    <xf numFmtId="184" fontId="78" fillId="33" borderId="24" xfId="113" applyNumberFormat="1" applyFont="1" applyFill="1" applyBorder="1" applyAlignment="1">
      <alignment vertical="center"/>
    </xf>
    <xf numFmtId="184" fontId="4" fillId="0" borderId="25" xfId="113" applyNumberFormat="1" applyFont="1" applyFill="1" applyBorder="1" applyAlignment="1">
      <alignment horizontal="right" vertical="center"/>
    </xf>
    <xf numFmtId="38" fontId="4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83" fontId="4" fillId="33" borderId="20" xfId="146" applyNumberFormat="1" applyFont="1" applyFill="1" applyBorder="1" applyAlignment="1" applyProtection="1">
      <alignment vertical="center"/>
      <protection locked="0"/>
    </xf>
    <xf numFmtId="205" fontId="4" fillId="0" borderId="21" xfId="146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27" xfId="0" applyNumberFormat="1" applyFont="1" applyFill="1" applyBorder="1" applyAlignment="1" applyProtection="1">
      <alignment vertical="center"/>
      <protection locked="0"/>
    </xf>
    <xf numFmtId="183" fontId="4" fillId="33" borderId="22" xfId="146" applyNumberFormat="1" applyFont="1" applyFill="1" applyBorder="1" applyAlignment="1" applyProtection="1">
      <alignment vertical="center"/>
      <protection locked="0"/>
    </xf>
    <xf numFmtId="205" fontId="4" fillId="0" borderId="23" xfId="146" applyNumberFormat="1" applyFont="1" applyBorder="1" applyAlignment="1">
      <alignment vertical="center"/>
    </xf>
    <xf numFmtId="38" fontId="4" fillId="0" borderId="30" xfId="0" applyNumberFormat="1" applyFont="1" applyFill="1" applyBorder="1" applyAlignment="1" applyProtection="1">
      <alignment horizontal="left" vertical="center"/>
      <protection locked="0"/>
    </xf>
    <xf numFmtId="183" fontId="4" fillId="33" borderId="31" xfId="146" applyNumberFormat="1" applyFont="1" applyFill="1" applyBorder="1" applyAlignment="1" applyProtection="1">
      <alignment vertical="center"/>
      <protection locked="0"/>
    </xf>
    <xf numFmtId="205" fontId="4" fillId="0" borderId="32" xfId="146" applyNumberFormat="1" applyFont="1" applyBorder="1" applyAlignment="1">
      <alignment vertical="center"/>
    </xf>
    <xf numFmtId="38" fontId="4" fillId="0" borderId="29" xfId="0" applyNumberFormat="1" applyFont="1" applyFill="1" applyBorder="1" applyAlignment="1" applyProtection="1">
      <alignment vertical="center" wrapText="1"/>
      <protection locked="0"/>
    </xf>
    <xf numFmtId="183" fontId="16" fillId="0" borderId="0" xfId="146" applyNumberFormat="1" applyFont="1" applyFill="1" applyBorder="1" applyAlignment="1" applyProtection="1">
      <alignment vertical="center"/>
      <protection locked="0"/>
    </xf>
    <xf numFmtId="183" fontId="4" fillId="33" borderId="24" xfId="146" applyNumberFormat="1" applyFont="1" applyFill="1" applyBorder="1" applyAlignment="1" applyProtection="1">
      <alignment vertical="center"/>
      <protection locked="0"/>
    </xf>
    <xf numFmtId="205" fontId="4" fillId="0" borderId="25" xfId="146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75" fillId="32" borderId="34" xfId="0" applyFont="1" applyFill="1" applyBorder="1" applyAlignment="1">
      <alignment horizontal="center" vertical="center"/>
    </xf>
    <xf numFmtId="49" fontId="81" fillId="32" borderId="22" xfId="0" applyNumberFormat="1" applyFont="1" applyFill="1" applyBorder="1" applyAlignment="1">
      <alignment horizontal="center" vertical="center" wrapText="1"/>
    </xf>
    <xf numFmtId="0" fontId="75" fillId="32" borderId="35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vertical="center"/>
    </xf>
    <xf numFmtId="185" fontId="36" fillId="33" borderId="22" xfId="146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184" fontId="78" fillId="0" borderId="34" xfId="0" applyNumberFormat="1" applyFont="1" applyFill="1" applyBorder="1" applyAlignment="1">
      <alignment horizontal="right" wrapText="1"/>
    </xf>
    <xf numFmtId="204" fontId="4" fillId="33" borderId="22" xfId="146" applyNumberFormat="1" applyFont="1" applyFill="1" applyBorder="1" applyAlignment="1">
      <alignment horizontal="right" vertical="center"/>
    </xf>
    <xf numFmtId="184" fontId="78" fillId="0" borderId="35" xfId="0" applyNumberFormat="1" applyFont="1" applyFill="1" applyBorder="1" applyAlignment="1">
      <alignment horizontal="right" wrapText="1"/>
    </xf>
    <xf numFmtId="184" fontId="4" fillId="33" borderId="24" xfId="113" applyNumberFormat="1" applyFont="1" applyFill="1" applyBorder="1" applyAlignment="1">
      <alignment horizontal="right" vertical="center"/>
    </xf>
    <xf numFmtId="184" fontId="4" fillId="33" borderId="0" xfId="113" applyNumberFormat="1" applyFont="1" applyFill="1" applyBorder="1" applyAlignment="1">
      <alignment horizontal="right" vertical="center"/>
    </xf>
    <xf numFmtId="184" fontId="78" fillId="0" borderId="33" xfId="0" applyNumberFormat="1" applyFont="1" applyFill="1" applyBorder="1" applyAlignment="1">
      <alignment horizontal="right" wrapText="1"/>
    </xf>
    <xf numFmtId="184" fontId="4" fillId="33" borderId="20" xfId="113" applyNumberFormat="1" applyFont="1" applyFill="1" applyBorder="1" applyAlignment="1">
      <alignment horizontal="right" vertical="center"/>
    </xf>
    <xf numFmtId="184" fontId="82" fillId="0" borderId="34" xfId="0" applyNumberFormat="1" applyFont="1" applyFill="1" applyBorder="1" applyAlignment="1">
      <alignment horizontal="right" wrapText="1"/>
    </xf>
    <xf numFmtId="185" fontId="4" fillId="33" borderId="22" xfId="113" applyNumberFormat="1" applyFont="1" applyFill="1" applyBorder="1" applyAlignment="1">
      <alignment horizontal="right" vertical="center"/>
    </xf>
    <xf numFmtId="184" fontId="78" fillId="33" borderId="22" xfId="113" applyNumberFormat="1" applyFont="1" applyFill="1" applyBorder="1" applyAlignment="1">
      <alignment horizontal="right" vertical="center" wrapText="1"/>
    </xf>
    <xf numFmtId="184" fontId="4" fillId="0" borderId="34" xfId="0" applyNumberFormat="1" applyFont="1" applyFill="1" applyBorder="1" applyAlignment="1">
      <alignment wrapText="1"/>
    </xf>
    <xf numFmtId="0" fontId="4" fillId="0" borderId="35" xfId="0" applyFont="1" applyBorder="1" applyAlignment="1">
      <alignment/>
    </xf>
    <xf numFmtId="0" fontId="4" fillId="33" borderId="24" xfId="0" applyFont="1" applyFill="1" applyBorder="1" applyAlignment="1">
      <alignment/>
    </xf>
    <xf numFmtId="43" fontId="10" fillId="3" borderId="0" xfId="146" applyFont="1" applyFill="1" applyAlignment="1">
      <alignment/>
    </xf>
    <xf numFmtId="10" fontId="78" fillId="33" borderId="22" xfId="113" applyNumberFormat="1" applyFont="1" applyFill="1" applyBorder="1" applyAlignment="1">
      <alignment horizontal="right" vertical="center" wrapText="1"/>
    </xf>
    <xf numFmtId="184" fontId="78" fillId="0" borderId="36" xfId="0" applyNumberFormat="1" applyFont="1" applyFill="1" applyBorder="1" applyAlignment="1">
      <alignment wrapText="1"/>
    </xf>
    <xf numFmtId="184" fontId="4" fillId="33" borderId="37" xfId="113" applyNumberFormat="1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vertical="center"/>
    </xf>
    <xf numFmtId="182" fontId="10" fillId="0" borderId="0" xfId="149" applyNumberFormat="1" applyFont="1" applyFill="1" applyAlignment="1" quotePrefix="1">
      <alignment horizontal="center"/>
    </xf>
    <xf numFmtId="182" fontId="10" fillId="0" borderId="0" xfId="149" applyNumberFormat="1" applyFont="1" applyFill="1" applyAlignment="1">
      <alignment horizontal="right"/>
    </xf>
    <xf numFmtId="182" fontId="10" fillId="0" borderId="16" xfId="149" applyNumberFormat="1" applyFont="1" applyFill="1" applyBorder="1" applyAlignment="1">
      <alignment horizontal="right"/>
    </xf>
    <xf numFmtId="182" fontId="10" fillId="0" borderId="38" xfId="149" applyNumberFormat="1" applyFont="1" applyFill="1" applyBorder="1" applyAlignment="1">
      <alignment horizontal="right"/>
    </xf>
    <xf numFmtId="193" fontId="10" fillId="0" borderId="0" xfId="149" applyNumberFormat="1" applyFont="1" applyFill="1" applyAlignment="1">
      <alignment horizontal="right"/>
    </xf>
    <xf numFmtId="43" fontId="10" fillId="0" borderId="38" xfId="146" applyFont="1" applyFill="1" applyBorder="1" applyAlignment="1">
      <alignment horizontal="right"/>
    </xf>
    <xf numFmtId="182" fontId="10" fillId="0" borderId="0" xfId="149" applyNumberFormat="1" applyFont="1" applyFill="1" applyAlignment="1">
      <alignment/>
    </xf>
    <xf numFmtId="182" fontId="10" fillId="0" borderId="0" xfId="149" applyNumberFormat="1" applyFont="1" applyFill="1" applyBorder="1" applyAlignment="1">
      <alignment horizontal="right"/>
    </xf>
    <xf numFmtId="43" fontId="10" fillId="0" borderId="0" xfId="146" applyFont="1" applyFill="1" applyBorder="1" applyAlignment="1">
      <alignment horizontal="right"/>
    </xf>
    <xf numFmtId="0" fontId="16" fillId="0" borderId="0" xfId="15" applyFont="1" applyFill="1" applyBorder="1">
      <alignment/>
      <protection/>
    </xf>
    <xf numFmtId="0" fontId="84" fillId="0" borderId="0" xfId="15" applyFont="1" applyFill="1" applyBorder="1">
      <alignment/>
      <protection/>
    </xf>
    <xf numFmtId="37" fontId="15" fillId="0" borderId="0" xfId="125" applyNumberFormat="1" applyFont="1" applyFill="1" applyBorder="1" applyAlignment="1">
      <alignment wrapText="1"/>
      <protection/>
    </xf>
    <xf numFmtId="37" fontId="16" fillId="0" borderId="0" xfId="125" applyNumberFormat="1" applyFont="1" applyFill="1" applyBorder="1" applyAlignment="1">
      <alignment wrapText="1"/>
      <protection/>
    </xf>
    <xf numFmtId="37" fontId="84" fillId="0" borderId="0" xfId="125" applyNumberFormat="1" applyFont="1" applyFill="1" applyBorder="1" applyAlignment="1">
      <alignment wrapText="1"/>
      <protection/>
    </xf>
    <xf numFmtId="37" fontId="83" fillId="0" borderId="0" xfId="125" applyNumberFormat="1" applyFont="1" applyFill="1" applyBorder="1" applyAlignment="1">
      <alignment wrapText="1"/>
      <protection/>
    </xf>
    <xf numFmtId="0" fontId="10" fillId="0" borderId="0" xfId="15" applyFont="1" applyFill="1" applyBorder="1">
      <alignment/>
      <protection/>
    </xf>
    <xf numFmtId="0" fontId="85" fillId="0" borderId="0" xfId="15" applyFont="1" applyFill="1" applyBorder="1">
      <alignment/>
      <protection/>
    </xf>
    <xf numFmtId="43" fontId="10" fillId="0" borderId="0" xfId="146" applyFont="1" applyFill="1" applyAlignment="1">
      <alignment/>
    </xf>
    <xf numFmtId="37" fontId="15" fillId="0" borderId="0" xfId="125" applyNumberFormat="1" applyFont="1" applyFill="1" applyBorder="1" applyAlignment="1">
      <alignment horizontal="right" wrapText="1"/>
      <protection/>
    </xf>
    <xf numFmtId="37" fontId="16" fillId="0" borderId="0" xfId="125" applyNumberFormat="1" applyFont="1" applyFill="1" applyBorder="1" applyAlignment="1">
      <alignment horizontal="left" wrapText="1"/>
      <protection/>
    </xf>
    <xf numFmtId="194" fontId="10" fillId="0" borderId="0" xfId="15" applyNumberFormat="1" applyFont="1" applyFill="1" applyBorder="1">
      <alignment/>
      <protection/>
    </xf>
    <xf numFmtId="194" fontId="86" fillId="0" borderId="0" xfId="15" applyNumberFormat="1" applyFont="1" applyFill="1" applyBorder="1">
      <alignment/>
      <protection/>
    </xf>
    <xf numFmtId="0" fontId="16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/>
    </xf>
    <xf numFmtId="0" fontId="15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9" xfId="0" applyFont="1" applyBorder="1" applyAlignment="1">
      <alignment/>
    </xf>
    <xf numFmtId="182" fontId="10" fillId="0" borderId="39" xfId="149" applyNumberFormat="1" applyFont="1" applyFill="1" applyBorder="1" applyAlignment="1">
      <alignment horizontal="right"/>
    </xf>
    <xf numFmtId="0" fontId="16" fillId="0" borderId="1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6" fillId="0" borderId="38" xfId="0" applyFont="1" applyBorder="1" applyAlignment="1">
      <alignment horizontal="left" vertical="top" wrapText="1"/>
    </xf>
    <xf numFmtId="0" fontId="10" fillId="0" borderId="38" xfId="0" applyFont="1" applyBorder="1" applyAlignment="1">
      <alignment/>
    </xf>
    <xf numFmtId="0" fontId="10" fillId="0" borderId="40" xfId="0" applyFont="1" applyBorder="1" applyAlignment="1">
      <alignment/>
    </xf>
    <xf numFmtId="182" fontId="10" fillId="0" borderId="40" xfId="149" applyNumberFormat="1" applyFont="1" applyFill="1" applyBorder="1" applyAlignment="1">
      <alignment horizontal="right"/>
    </xf>
    <xf numFmtId="0" fontId="16" fillId="0" borderId="38" xfId="0" applyFont="1" applyBorder="1" applyAlignment="1">
      <alignment horizontal="left"/>
    </xf>
    <xf numFmtId="0" fontId="16" fillId="0" borderId="38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4" fillId="0" borderId="38" xfId="0" applyFont="1" applyBorder="1" applyAlignment="1">
      <alignment/>
    </xf>
    <xf numFmtId="0" fontId="15" fillId="0" borderId="39" xfId="0" applyFont="1" applyBorder="1" applyAlignment="1">
      <alignment vertical="top" wrapText="1"/>
    </xf>
    <xf numFmtId="0" fontId="14" fillId="0" borderId="39" xfId="0" applyFont="1" applyBorder="1" applyAlignment="1">
      <alignment/>
    </xf>
    <xf numFmtId="0" fontId="16" fillId="0" borderId="40" xfId="0" applyFont="1" applyBorder="1" applyAlignment="1">
      <alignment vertical="top" wrapText="1"/>
    </xf>
    <xf numFmtId="43" fontId="10" fillId="0" borderId="40" xfId="146" applyFont="1" applyFill="1" applyBorder="1" applyAlignment="1">
      <alignment horizontal="right"/>
    </xf>
    <xf numFmtId="0" fontId="10" fillId="0" borderId="41" xfId="0" applyFont="1" applyBorder="1" applyAlignment="1">
      <alignment/>
    </xf>
    <xf numFmtId="0" fontId="16" fillId="0" borderId="16" xfId="15" applyFont="1" applyFill="1" applyBorder="1">
      <alignment/>
      <protection/>
    </xf>
    <xf numFmtId="0" fontId="84" fillId="0" borderId="16" xfId="15" applyFont="1" applyFill="1" applyBorder="1">
      <alignment/>
      <protection/>
    </xf>
    <xf numFmtId="37" fontId="16" fillId="0" borderId="16" xfId="125" applyNumberFormat="1" applyFont="1" applyFill="1" applyBorder="1" applyAlignment="1">
      <alignment wrapText="1"/>
      <protection/>
    </xf>
    <xf numFmtId="37" fontId="84" fillId="0" borderId="16" xfId="125" applyNumberFormat="1" applyFont="1" applyFill="1" applyBorder="1" applyAlignment="1">
      <alignment wrapText="1"/>
      <protection/>
    </xf>
    <xf numFmtId="0" fontId="16" fillId="0" borderId="38" xfId="15" applyFont="1" applyFill="1" applyBorder="1">
      <alignment/>
      <protection/>
    </xf>
    <xf numFmtId="0" fontId="84" fillId="0" borderId="38" xfId="15" applyFont="1" applyFill="1" applyBorder="1">
      <alignment/>
      <protection/>
    </xf>
    <xf numFmtId="0" fontId="16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28" fillId="0" borderId="41" xfId="0" applyFont="1" applyBorder="1" applyAlignment="1">
      <alignment horizontal="right" vertical="top" wrapText="1"/>
    </xf>
    <xf numFmtId="0" fontId="2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40" xfId="0" applyFont="1" applyBorder="1" applyAlignment="1">
      <alignment vertical="top" wrapText="1"/>
    </xf>
    <xf numFmtId="0" fontId="1" fillId="0" borderId="0" xfId="0" applyFont="1" applyAlignment="1">
      <alignment/>
    </xf>
    <xf numFmtId="37" fontId="28" fillId="0" borderId="0" xfId="125" applyNumberFormat="1" applyFont="1" applyFill="1" applyBorder="1" applyAlignment="1">
      <alignment wrapText="1"/>
      <protection/>
    </xf>
    <xf numFmtId="37" fontId="1" fillId="0" borderId="0" xfId="125" applyNumberFormat="1" applyFont="1" applyFill="1" applyBorder="1" applyAlignment="1">
      <alignment wrapText="1"/>
      <protection/>
    </xf>
    <xf numFmtId="0" fontId="28" fillId="0" borderId="0" xfId="0" applyFont="1" applyBorder="1" applyAlignment="1">
      <alignment horizontal="right" vertical="top" wrapText="1"/>
    </xf>
    <xf numFmtId="0" fontId="16" fillId="0" borderId="39" xfId="0" applyFont="1" applyBorder="1" applyAlignment="1">
      <alignment vertical="top" wrapText="1"/>
    </xf>
    <xf numFmtId="0" fontId="28" fillId="0" borderId="39" xfId="0" applyFont="1" applyBorder="1" applyAlignment="1">
      <alignment horizontal="right" vertical="top" wrapText="1"/>
    </xf>
    <xf numFmtId="0" fontId="16" fillId="0" borderId="39" xfId="15" applyFont="1" applyFill="1" applyBorder="1">
      <alignment/>
      <protection/>
    </xf>
    <xf numFmtId="0" fontId="84" fillId="0" borderId="39" xfId="15" applyFont="1" applyFill="1" applyBorder="1">
      <alignment/>
      <protection/>
    </xf>
    <xf numFmtId="37" fontId="28" fillId="0" borderId="16" xfId="125" applyNumberFormat="1" applyFont="1" applyFill="1" applyBorder="1" applyAlignment="1">
      <alignment horizontal="right" wrapText="1"/>
      <protection/>
    </xf>
    <xf numFmtId="0" fontId="1" fillId="0" borderId="16" xfId="0" applyFont="1" applyBorder="1" applyAlignment="1">
      <alignment vertical="top" wrapText="1"/>
    </xf>
    <xf numFmtId="0" fontId="75" fillId="32" borderId="20" xfId="0" applyFont="1" applyFill="1" applyBorder="1" applyAlignment="1">
      <alignment horizontal="center" vertical="center"/>
    </xf>
    <xf numFmtId="0" fontId="75" fillId="32" borderId="42" xfId="0" applyFont="1" applyFill="1" applyBorder="1" applyAlignment="1">
      <alignment horizontal="center" vertical="center"/>
    </xf>
    <xf numFmtId="0" fontId="75" fillId="32" borderId="22" xfId="0" applyFont="1" applyFill="1" applyBorder="1" applyAlignment="1">
      <alignment horizontal="center" vertical="center"/>
    </xf>
    <xf numFmtId="0" fontId="75" fillId="32" borderId="43" xfId="0" applyFont="1" applyFill="1" applyBorder="1" applyAlignment="1">
      <alignment horizontal="center" vertical="center"/>
    </xf>
    <xf numFmtId="0" fontId="75" fillId="32" borderId="24" xfId="0" applyFont="1" applyFill="1" applyBorder="1" applyAlignment="1">
      <alignment horizontal="center" vertical="center"/>
    </xf>
    <xf numFmtId="0" fontId="75" fillId="32" borderId="4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7" xfId="126" applyFont="1" applyFill="1" applyBorder="1" applyAlignment="1">
      <alignment horizontal="center"/>
      <protection/>
    </xf>
    <xf numFmtId="0" fontId="17" fillId="0" borderId="17" xfId="126" applyFont="1" applyBorder="1" applyAlignment="1">
      <alignment horizontal="center"/>
      <protection/>
    </xf>
    <xf numFmtId="0" fontId="1" fillId="0" borderId="17" xfId="126" applyFont="1" applyBorder="1" applyAlignment="1">
      <alignment horizontal="center"/>
      <protection/>
    </xf>
  </cellXfs>
  <cellStyles count="148">
    <cellStyle name="Normal" xfId="0"/>
    <cellStyle name="_~3195678" xfId="16"/>
    <cellStyle name="_5-7月的采购数量和金额" xfId="17"/>
    <cellStyle name="_Book2" xfId="18"/>
    <cellStyle name="_EPS 0712" xfId="19"/>
    <cellStyle name="_EPS 0806" xfId="20"/>
    <cellStyle name="_李宁牌07费用预算7月13日更新" xfId="21"/>
    <cellStyle name="_销售系统07年预算费用（分析用） 整体（20070411）" xfId="22"/>
    <cellStyle name="_预算审核底稿_××系统预算" xfId="23"/>
    <cellStyle name="1234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Comma 0" xfId="43"/>
    <cellStyle name="Comma 0*" xfId="44"/>
    <cellStyle name="Comma 2" xfId="45"/>
    <cellStyle name="Comma_PBC-assets" xfId="46"/>
    <cellStyle name="Currency 0" xfId="47"/>
    <cellStyle name="Currency 2" xfId="48"/>
    <cellStyle name="Date Aligned" xfId="49"/>
    <cellStyle name="Dotted Line" xfId="50"/>
    <cellStyle name="Footnote" xfId="51"/>
    <cellStyle name="Hard Percent" xfId="52"/>
    <cellStyle name="Header" xfId="53"/>
    <cellStyle name="Heading 2" xfId="54"/>
    <cellStyle name="Heading 3" xfId="55"/>
    <cellStyle name="Input_$cell" xfId="56"/>
    <cellStyle name="Multiple" xfId="57"/>
    <cellStyle name="Normal_03(1).股份公司会计科目表10.30" xfId="58"/>
    <cellStyle name="NormalGB" xfId="59"/>
    <cellStyle name="Page Number" xfId="60"/>
    <cellStyle name="Salomon Logo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Table Head" xfId="100"/>
    <cellStyle name="Table Head Aligned" xfId="101"/>
    <cellStyle name="Table Head Blue" xfId="102"/>
    <cellStyle name="Table Head Green" xfId="103"/>
    <cellStyle name="Table Head_Val_Sum_Graph" xfId="104"/>
    <cellStyle name="Table Text" xfId="105"/>
    <cellStyle name="Table Title" xfId="106"/>
    <cellStyle name="Table Units" xfId="107"/>
    <cellStyle name="Table_Header" xfId="108"/>
    <cellStyle name="Text 1" xfId="109"/>
    <cellStyle name="Text Head 1" xfId="110"/>
    <cellStyle name="Underline_Single" xfId="111"/>
    <cellStyle name="year" xfId="112"/>
    <cellStyle name="Percent" xfId="113"/>
    <cellStyle name="百分比 2" xfId="114"/>
    <cellStyle name="标题" xfId="115"/>
    <cellStyle name="标题 1" xfId="116"/>
    <cellStyle name="标题 2" xfId="117"/>
    <cellStyle name="标题 3" xfId="118"/>
    <cellStyle name="标题 4" xfId="119"/>
    <cellStyle name="差" xfId="120"/>
    <cellStyle name="差_集团存货周转天数0809" xfId="121"/>
    <cellStyle name="差_集团存货周转天数0810" xfId="122"/>
    <cellStyle name="差_销售毛利预测" xfId="123"/>
    <cellStyle name="常规 2" xfId="124"/>
    <cellStyle name="常规_Feb15 - Li Ning IFRS CF04" xfId="125"/>
    <cellStyle name="常规_内部购销存货毛利统计0803" xfId="126"/>
    <cellStyle name="超级链接_LN品牌管理报表200601-分区域收入" xfId="127"/>
    <cellStyle name="Hyperlink" xfId="128"/>
    <cellStyle name="好" xfId="129"/>
    <cellStyle name="好_集团存货周转天数0809" xfId="130"/>
    <cellStyle name="好_集团存货周转天数0810" xfId="131"/>
    <cellStyle name="好_销售毛利预测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警告文本" xfId="139"/>
    <cellStyle name="链接单元格" xfId="140"/>
    <cellStyle name="普通_ 外G9(3)" xfId="141"/>
    <cellStyle name="千分位[0]_ 电器仪表" xfId="142"/>
    <cellStyle name="千分位_ 电器仪表" xfId="143"/>
    <cellStyle name="千位[0]_dm" xfId="144"/>
    <cellStyle name="千位_dm" xfId="145"/>
    <cellStyle name="Comma" xfId="146"/>
    <cellStyle name="千位分隔 2" xfId="147"/>
    <cellStyle name="Comma [0]" xfId="148"/>
    <cellStyle name="千位分隔_0803lining consolidation&amp;ifrs report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适中" xfId="156"/>
    <cellStyle name="输出" xfId="157"/>
    <cellStyle name="输入" xfId="158"/>
    <cellStyle name="样式 1" xfId="159"/>
    <cellStyle name="Followed Hyperlink" xfId="160"/>
    <cellStyle name="昗弨_Book3" xfId="161"/>
    <cellStyle name="注释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15</xdr:row>
      <xdr:rowOff>9525</xdr:rowOff>
    </xdr:from>
    <xdr:ext cx="161925" cy="161925"/>
    <xdr:grpSp>
      <xdr:nvGrpSpPr>
        <xdr:cNvPr id="1" name="SAPBEXq0001 E1618C220A1B45"/>
        <xdr:cNvGrpSpPr>
          <a:grpSpLocks noChangeAspect="1"/>
        </xdr:cNvGrpSpPr>
      </xdr:nvGrpSpPr>
      <xdr:grpSpPr>
        <a:xfrm>
          <a:off x="952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" name="SAPBEXq0001 E1618C220A1B4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3" name="SAPBEXq0001 E1618C220A1B4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16</xdr:row>
      <xdr:rowOff>9525</xdr:rowOff>
    </xdr:from>
    <xdr:ext cx="161925" cy="161925"/>
    <xdr:grpSp>
      <xdr:nvGrpSpPr>
        <xdr:cNvPr id="4" name="SAPBEXq0001 E1618C220A2A46"/>
        <xdr:cNvGrpSpPr>
          <a:grpSpLocks noChangeAspect="1"/>
        </xdr:cNvGrpSpPr>
      </xdr:nvGrpSpPr>
      <xdr:grpSpPr>
        <a:xfrm>
          <a:off x="523875" y="2695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" name="SAPBEXq0001 E1618C220A2A4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6" name="SAPBEXq0001 E1618C220A2A4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28</xdr:row>
      <xdr:rowOff>9525</xdr:rowOff>
    </xdr:from>
    <xdr:ext cx="161925" cy="161925"/>
    <xdr:grpSp>
      <xdr:nvGrpSpPr>
        <xdr:cNvPr id="7" name="SAPBEXq0001 E1618C220A2A47"/>
        <xdr:cNvGrpSpPr>
          <a:grpSpLocks noChangeAspect="1"/>
        </xdr:cNvGrpSpPr>
      </xdr:nvGrpSpPr>
      <xdr:grpSpPr>
        <a:xfrm>
          <a:off x="9525" y="46386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" name="SAPBEXq0001 E1618C220A2A4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9" name="SAPBEXq0001 E1618C220A2A4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41</xdr:row>
      <xdr:rowOff>9525</xdr:rowOff>
    </xdr:from>
    <xdr:ext cx="161925" cy="161925"/>
    <xdr:grpSp>
      <xdr:nvGrpSpPr>
        <xdr:cNvPr id="10" name="SAPBEXq0001 E1618C220A2A48"/>
        <xdr:cNvGrpSpPr>
          <a:grpSpLocks noChangeAspect="1"/>
        </xdr:cNvGrpSpPr>
      </xdr:nvGrpSpPr>
      <xdr:grpSpPr>
        <a:xfrm>
          <a:off x="9525" y="67437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" name="SAPBEXq0001 E1618C220A2A4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2" name="SAPBEXq0001 E1618C220A2A4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61925" cy="161925"/>
    <xdr:grpSp>
      <xdr:nvGrpSpPr>
        <xdr:cNvPr id="13" name="SAPBEXq0001 E1618C220A2A49"/>
        <xdr:cNvGrpSpPr>
          <a:grpSpLocks noChangeAspect="1"/>
        </xdr:cNvGrpSpPr>
      </xdr:nvGrpSpPr>
      <xdr:grpSpPr>
        <a:xfrm>
          <a:off x="9525" y="83629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" name="SAPBEXq0001 E1618C220A2A4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5" name="SAPBEXq0001 E1618C220A2A4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56</xdr:row>
      <xdr:rowOff>9525</xdr:rowOff>
    </xdr:from>
    <xdr:ext cx="161925" cy="161925"/>
    <xdr:grpSp>
      <xdr:nvGrpSpPr>
        <xdr:cNvPr id="16" name="SAPBEXq0001 E1618C220A2A4A"/>
        <xdr:cNvGrpSpPr>
          <a:grpSpLocks noChangeAspect="1"/>
        </xdr:cNvGrpSpPr>
      </xdr:nvGrpSpPr>
      <xdr:grpSpPr>
        <a:xfrm>
          <a:off x="9525" y="9172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" name="SAPBEXq0001 E1618C220A2A4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8" name="SAPBEXq0001 E1618C220A2A4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9" name="SAPBEXq0001 E9EA06ECB2B3B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" name="SAPBEXq0001 E9EA06ECB2B3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21" name="SAPBEXq0001 E9EA06ECB2B3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22" name="SAPBEXq0001 E9EA06ECB2B3C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" name="SAPBEXq0001 E9EA06ECB2B3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24" name="SAPBEXq0001 E9EA06ECB2B3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25" name="SAPBEXq0001 E9EA06ECB2B3D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" name="SAPBEXq0001 E9EA06ECB2B3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27" name="SAPBEXq0001 E9EA06ECB2B3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28" name="SAPBEXq0001 E9EA06ECB2D3E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" name="SAPBEXq0001 E9EA06ECB2D3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30" name="SAPBEXq0001 E9EA06ECB2D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31" name="SAPBEXq0001 E9EA06ECB2D3F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" name="SAPBEXq0001 E9EA06ECB2D3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33" name="SAPBEXq0001 E9EA06ECB2D3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34" name="SAPBEXq0001 E162546EB84556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" name="SAPBEXq0001 E162546EB8455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36" name="SAPBEXq0001 E162546EB8455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37" name="SAPBEXq0001 E162546EB84557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8" name="SAPBEXq0001 E162546EB8455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39" name="SAPBEXq0001 E162546EB8455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40" name="SAPBEXq0001 E162546EB84558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" name="SAPBEXq0001 E162546EB8455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42" name="SAPBEXq0001 E162546EB8455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43" name="SAPBEXq0001 E162546EB84559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" name="SAPBEXq0001 E162546EB8455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45" name="SAPBEXq0001 E162546EB8455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46" name="SAPBEXq0001 E162546EB8455A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" name="SAPBEXq0001 E162546EB8455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48" name="SAPBEXq0001 E162546EB8455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49" name="SAPBEXq0001 E162546EB84556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0" name="SAPBEXq0001 E162546EB8455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51" name="SAPBEXq0001 E162546EB8455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52" name="SAPBEXq0001 E162546EB84557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3" name="SAPBEXq0001 E162546EB8455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54" name="SAPBEXq0001 E162546EB8455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55" name="SAPBEXq0001 E162546EB84558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6" name="SAPBEXq0001 E162546EB8455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57" name="SAPBEXq0001 E162546EB8455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58" name="SAPBEXq0001 E162546EB84559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9" name="SAPBEXq0001 E162546EB8455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60" name="SAPBEXq0001 E162546EB8455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61" name="SAPBEXq0001 E162546EB8455A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2" name="SAPBEXq0001 E162546EB8455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63" name="SAPBEXq0001 E162546EB8455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64" name="SAPBEXq0001 EC6783EBD1720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5" name="SAPBEXq0001 EC6783EBD17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66" name="SAPBEXq0001 EC6783EBD17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67" name="SAPBEXq0001 EC6783EBD1721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8" name="SAPBEXq0001 EC6783EBD172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69" name="SAPBEXq0001 EC6783EBD172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70" name="SAPBEXq0001 EC6783EBD1722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1" name="SAPBEXq0001 EC6783EBD172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72" name="SAPBEXq0001 EC6783EBD172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73" name="SAPBEXq0001 EC6783EBD1723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4" name="SAPBEXq0001 EC6783EBD17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75" name="SAPBEXq0001 EC6783EBD17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76" name="SAPBEXq0001 EC6783EBD1724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7" name="SAPBEXq0001 EC6783EBD172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78" name="SAPBEXq0001 EC6783EBD172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79" name="SAPBEXq0001 EC6783EBD1720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0" name="SAPBEXq0001 EC6783EBD17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81" name="SAPBEXq0001 EC6783EBD17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82" name="SAPBEXq0001 EC6783EBD1721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3" name="SAPBEXq0001 EC6783EBD172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84" name="SAPBEXq0001 EC6783EBD172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85" name="SAPBEXq0001 EC6783EBD1722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6" name="SAPBEXq0001 EC6783EBD172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87" name="SAPBEXq0001 EC6783EBD172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88" name="SAPBEXq0001 EC6783EBD1723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9" name="SAPBEXq0001 EC6783EBD17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90" name="SAPBEXq0001 EC6783EBD17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91" name="SAPBEXq0001 EC6783EBD1724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2" name="SAPBEXq0001 EC6783EBD172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93" name="SAPBEXq0001 EC6783EBD172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94" name="SAPBEXq0001 EC6783EBD1720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5" name="SAPBEXq0001 EC6783EBD17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96" name="SAPBEXq0001 EC6783EBD17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97" name="SAPBEXq0001 EC6783EBD1721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8" name="SAPBEXq0001 EC6783EBD172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99" name="SAPBEXq0001 EC6783EBD172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100" name="SAPBEXq0001 EC6783EBD1722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1" name="SAPBEXq0001 EC6783EBD172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02" name="SAPBEXq0001 EC6783EBD172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103" name="SAPBEXq0001 EC6783EBD1723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4" name="SAPBEXq0001 EC6783EBD17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05" name="SAPBEXq0001 EC6783EBD17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106" name="SAPBEXq0001 EC6783EBD1724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7" name="SAPBEXq0001 EC6783EBD172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08" name="SAPBEXq0001 EC6783EBD172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09" name="SAPBEXq0001 EC6DC5845BA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0" name="SAPBEXq0001 EC6DC5845B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11" name="SAPBEXq0001 EC6DC5845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112" name="SAPBEXq0001 EC6DC5845BB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3" name="SAPBEXq0001 EC6DC5845B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14" name="SAPBEXq0001 EC6DC5845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115" name="SAPBEXq0001 EC6DC5845BC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6" name="SAPBEXq0001 EC6DC5845B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17" name="SAPBEXq0001 EC6DC5845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118" name="SAPBEXq0001 EC6DC5845BD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9" name="SAPBEXq0001 EC6DC5845B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20" name="SAPBEXq0001 EC6DC5845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121" name="SAPBEXq0001 EC6DC5845BE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2" name="SAPBEXq0001 EC6DC5845B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23" name="SAPBEXq0001 EC6DC5845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24" name="SAPBEXq0001 EC6DC5845BA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5" name="SAPBEXq0001 EC6DC5845B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26" name="SAPBEXq0001 EC6DC5845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127" name="SAPBEXq0001 EC6DC5845BB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8" name="SAPBEXq0001 EC6DC5845B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29" name="SAPBEXq0001 EC6DC5845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130" name="SAPBEXq0001 EC6DC5845BC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1" name="SAPBEXq0001 EC6DC5845B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32" name="SAPBEXq0001 EC6DC5845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133" name="SAPBEXq0001 EC6DC5845BD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4" name="SAPBEXq0001 EC6DC5845B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35" name="SAPBEXq0001 EC6DC5845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136" name="SAPBEXq0001 EC6DC5845BE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7" name="SAPBEXq0001 EC6DC5845B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 macro="[2]!shapeAction">
        <xdr:nvSpPr>
          <xdr:cNvPr id="138" name="SAPBEXq0001 EC6DC5845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&#36130;&#20250;&#37096;&#36164;&#26009;&#24211;\&#21512;&#24182;&#25253;&#34920;&#31867;\2008\0803\&#24037;&#20316;&#24213;&#31295;\&#26126;&#32454;&#24213;&#31295;\&#20869;&#37096;&#36141;&#38144;&#23384;&#36135;&#27611;&#21033;&#32479;&#35745;08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RC&#36164;&#20135;&#36127;&#20538;&#34920;08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0013;&#22830;&#25253;&#34920;&#25991;&#20214;\&#27599;&#26376;&#27861;&#23450;&#21512;&#24182;\&#27599;&#26376;&#19978;&#36733;&#27169;&#26495;\0808&#19978;&#36733;&#27169;&#29256;\&#35199;&#29677;&#29273;&#20844;&#21496;BCS&#31995;&#32479;&#25968;&#25454;&#19978;&#36733;&#27169;&#29256;08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36130;&#21153;&#38468;&#27880;\&#26080;&#24418;&#36164;&#20135;-&#22303;&#22320;&#20351;&#29992;&#26435;08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36130;&#21153;&#38468;&#27880;\&#36130;&#21153;&#36153;&#29992;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26126;&#32454;&#24213;&#31295;\&#23384;&#36135;&#36300;&#20215;&#20934;&#22791;&#35745;&#31639;&#26680;&#23545;&#34920;08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26126;&#32454;&#24213;&#31295;\&#24211;&#23384;&#26410;&#23454;&#29616;&#27611;&#21033;08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19994;&#21153;&#38468;&#27880;\&#20998;&#21697;&#29260;&#21697;&#31867;&#25910;&#20837;&#27611;&#21033;08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26126;&#32454;&#24213;&#31295;\z-do&#38144;&#21806;&#21450;&#27611;&#21033;&#20998;&#26512;08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LE~1.LIN\LOCALS~1\Temp\notesE8DBF2\&#25910;&#20837;&#26680;&#2354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32.14\&#19978;&#20307;\finance\&#36130;&#20250;&#37096;&#36164;&#26009;&#24211;\&#21512;&#24182;&#25253;&#34920;&#31867;\2008\0806\&#31995;&#32479;&#21512;&#24182;\reports\0806factsheet-0808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ing%20doc\&#36130;&#21153;&#20998;&#26512;\jack\&#20998;&#26512;&#25253;&#34920;&#32500;&#25252;\&#36130;&#21153;&#20998;&#26512;&#34920;-&#19968;&#211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consol%20report\&#21512;&#24182;&#25253;&#34920;\2004&#24180;\0406\&#20998;&#22320;&#21306;&#38144;&#21806;&#25968;&#25454;\0406&#20998;&#22823;&#21306;&#38144;&#21806;&#32479;&#35745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consol%20report\consol%20report\Factsheet\0812factsheet-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006&#36890;&#23453;&#25253;&#34920;33%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consol%20report\&#26085;&#24120;&#24037;&#20316;\work\&#19978;&#20307;&#25253;&#34920;\07\06\&#32456;&#31295;\&#29579;&#29577;&#38686;\&#36130;&#21153;&#20998;&#26512;\200207\0109\&#21512;&#24182;&#24213;&#31295;\2000&#21512;&#24182;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912&#36890;&#23453;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9\&#36130;&#21153;&#20998;&#26512;\&#38598;&#22242;\&#38598;&#22242;&#31649;&#29702;&#25253;&#34920;&#21450;&#20998;&#26512;0912\&#38598;&#22242;&#36130;&#21153;&#20998;&#26512;PPT&#38468;&#34920;0912_071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E1C09~1.WAN\LOCALS~1\Temp\D.Lotus.Notes.Data\Work\3&#38144;&#21806;&#22238;&#27454;&#25968;&#25454;\&#38144;&#21806;&#25968;&#25454;\&#21271;&#20307;&#38144;&#21806;&#26085;&#25253;\05&#26085;&#25253;\&#38144;&#21806;&#25253;&#34920;(2005.08.31&#38144;&#21806;&#25253;&#34920;V1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012\&#31995;&#32479;&#21512;&#24182;\Factsheet\1012factsheet-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106\&#31995;&#32479;&#21512;&#24182;\Factsheet\1106factsheet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24037;&#20316;&#24213;&#31295;\&#31995;&#32479;&#25253;&#34920;&#26680;&#23545;\&#38598;&#22242;&#25253;&#36865;&#25253;&#34920;08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106\&#32418;&#21452;&#21916;&#39044;&#20272;11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112\&#31995;&#32479;&#21512;&#24182;\Factsheet\1112factsheet-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112\&#31995;&#32479;&#21512;&#24182;\&#21512;&#24182;&#32418;&#21452;&#21916;\&#29616;&#37329;&#27969;&#37327;&#34920;&#38388;&#25509;&#27861;1112(&#21512;&#24182;kason&amp;DH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22791;&#26696;&#34920;\&#24742;&#22885;-200806&#23384;&#36135;&#36300;&#20215;&#20934;&#22791;&#27979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22791;&#26696;&#34920;\&#24191;&#20307;-&#23384;&#36135;&#36300;&#20215;&#20934;&#22791;&#26126;&#32454;&#34920;(&#20934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LE~1.LIN\LOCALS~1\Temp\Rar$DI00.625\0712factsheet-080307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RC&#36164;&#20135;&#36127;&#20538;&#34920;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RC&#21033;&#28070;&#34920;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nsol%20report\&#31995;&#32479;&#21512;&#24182;\reports\&#29616;&#37329;&#27969;&#37327;&#34920;&#38388;&#25509;&#27861;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部销售汇总"/>
      <sheetName val="内含毛利计算"/>
      <sheetName val="当期销售毛利"/>
      <sheetName val="收入成本统计"/>
      <sheetName val="收入成本明细表"/>
      <sheetName val="收入成本明细表IFRS"/>
    </sheetNames>
    <sheetDataSet>
      <sheetData sheetId="3">
        <row r="2">
          <cell r="K2">
            <v>13816419.2</v>
          </cell>
          <cell r="L2">
            <v>16850009.290000003</v>
          </cell>
          <cell r="M2">
            <v>8101768.24</v>
          </cell>
          <cell r="N2">
            <v>1139660.15</v>
          </cell>
          <cell r="O2">
            <v>10421910.760000002</v>
          </cell>
          <cell r="P2">
            <v>6082553.22</v>
          </cell>
          <cell r="Q2">
            <v>4637239.2299999995</v>
          </cell>
          <cell r="R2">
            <v>7451854.43</v>
          </cell>
          <cell r="S2">
            <v>4237876.35</v>
          </cell>
          <cell r="T2">
            <v>2272186.450000001</v>
          </cell>
          <cell r="U2">
            <v>10435864.12</v>
          </cell>
          <cell r="V2">
            <v>10916284</v>
          </cell>
          <cell r="W2">
            <v>5447155.9</v>
          </cell>
          <cell r="X2">
            <v>5035816.369999999</v>
          </cell>
          <cell r="Z2">
            <v>1976614.0099999998</v>
          </cell>
          <cell r="AK2">
            <v>-875086.3078457968</v>
          </cell>
        </row>
        <row r="3">
          <cell r="K3">
            <v>16529969.450000001</v>
          </cell>
          <cell r="L3">
            <v>17563058.859999996</v>
          </cell>
          <cell r="M3">
            <v>10491059.4</v>
          </cell>
          <cell r="N3">
            <v>1132823.9800000002</v>
          </cell>
          <cell r="O3">
            <v>7855947.75</v>
          </cell>
          <cell r="P3">
            <v>7243750.08</v>
          </cell>
          <cell r="Q3">
            <v>3907762.51</v>
          </cell>
          <cell r="R3">
            <v>10663344.420000007</v>
          </cell>
          <cell r="S3">
            <v>4119547.43</v>
          </cell>
          <cell r="T3">
            <v>2535672.230000002</v>
          </cell>
          <cell r="U3">
            <v>17351276.62</v>
          </cell>
          <cell r="V3">
            <v>10707508.610000001</v>
          </cell>
          <cell r="W3">
            <v>3085668.7399999998</v>
          </cell>
          <cell r="X3">
            <v>3335019.2600000007</v>
          </cell>
          <cell r="Z3">
            <v>2016069.25</v>
          </cell>
          <cell r="AK3">
            <v>-892505.2348435338</v>
          </cell>
        </row>
        <row r="4">
          <cell r="K4">
            <v>1947531.1900000002</v>
          </cell>
          <cell r="L4">
            <v>1629986.79</v>
          </cell>
          <cell r="M4">
            <v>910404.37</v>
          </cell>
          <cell r="N4">
            <v>132102.76</v>
          </cell>
          <cell r="O4">
            <v>937362.27</v>
          </cell>
          <cell r="P4">
            <v>654535.19</v>
          </cell>
          <cell r="Q4">
            <v>693522.54</v>
          </cell>
          <cell r="R4">
            <v>971334.3899999979</v>
          </cell>
          <cell r="S4">
            <v>391907.76</v>
          </cell>
          <cell r="T4">
            <v>192360.11000000002</v>
          </cell>
          <cell r="U4">
            <v>1117262.21</v>
          </cell>
          <cell r="V4">
            <v>812788.83</v>
          </cell>
          <cell r="W4">
            <v>1121782.2299999997</v>
          </cell>
          <cell r="X4">
            <v>380681.77999999997</v>
          </cell>
          <cell r="Z4">
            <v>312242.93</v>
          </cell>
          <cell r="AK4">
            <v>-100040.26730941996</v>
          </cell>
        </row>
        <row r="5">
          <cell r="K5">
            <v>0</v>
          </cell>
          <cell r="L5">
            <v>454297.24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480.43000000000006</v>
          </cell>
          <cell r="W5">
            <v>0</v>
          </cell>
          <cell r="X5">
            <v>0</v>
          </cell>
          <cell r="Z5">
            <v>0</v>
          </cell>
        </row>
        <row r="6">
          <cell r="K6">
            <v>32293919.84</v>
          </cell>
          <cell r="L6">
            <v>36497352.18</v>
          </cell>
          <cell r="M6">
            <v>19503232.01</v>
          </cell>
          <cell r="N6">
            <v>2404586.8899999997</v>
          </cell>
          <cell r="O6">
            <v>19215220.78</v>
          </cell>
          <cell r="P6">
            <v>13980838.49</v>
          </cell>
          <cell r="Q6">
            <v>9238524.279999997</v>
          </cell>
          <cell r="R6">
            <v>19086533.240000006</v>
          </cell>
          <cell r="S6">
            <v>8749331.54</v>
          </cell>
          <cell r="T6">
            <v>5000218.790000004</v>
          </cell>
          <cell r="U6">
            <v>28904402.950000003</v>
          </cell>
          <cell r="V6">
            <v>22437061.869999997</v>
          </cell>
          <cell r="W6">
            <v>9654606.870000001</v>
          </cell>
          <cell r="X6">
            <v>8751517.41</v>
          </cell>
          <cell r="Z6">
            <v>4304926.1899999995</v>
          </cell>
          <cell r="AK6">
            <v>-1867631.8099987507</v>
          </cell>
        </row>
        <row r="11">
          <cell r="K11">
            <v>9804010.31</v>
          </cell>
          <cell r="L11">
            <v>15049550.740000002</v>
          </cell>
          <cell r="M11">
            <v>5808439.31</v>
          </cell>
          <cell r="N11">
            <v>868872.6799999999</v>
          </cell>
          <cell r="O11">
            <v>9020503.299999999</v>
          </cell>
          <cell r="P11">
            <v>4730594.210000001</v>
          </cell>
          <cell r="Q11">
            <v>3221571.37</v>
          </cell>
          <cell r="R11">
            <v>4406711.4399999995</v>
          </cell>
          <cell r="S11">
            <v>3542763.83</v>
          </cell>
          <cell r="T11">
            <v>1814555.6999999993</v>
          </cell>
          <cell r="U11">
            <v>7930579.06</v>
          </cell>
          <cell r="V11">
            <v>9422492.360000001</v>
          </cell>
          <cell r="W11">
            <v>5164113.340000001</v>
          </cell>
          <cell r="X11">
            <v>3095675.79</v>
          </cell>
          <cell r="Z11">
            <v>1550819.64</v>
          </cell>
          <cell r="AN11">
            <v>-853708.2284996661</v>
          </cell>
        </row>
        <row r="12">
          <cell r="K12">
            <v>11682350.01</v>
          </cell>
          <cell r="L12">
            <v>13847341.209999999</v>
          </cell>
          <cell r="M12">
            <v>7227017.78</v>
          </cell>
          <cell r="N12">
            <v>745009.2699999999</v>
          </cell>
          <cell r="O12">
            <v>6383911.569999998</v>
          </cell>
          <cell r="P12">
            <v>5126358.69</v>
          </cell>
          <cell r="Q12">
            <v>2647422.4299999997</v>
          </cell>
          <cell r="R12">
            <v>6721280.489999999</v>
          </cell>
          <cell r="S12">
            <v>2933041.57</v>
          </cell>
          <cell r="T12">
            <v>2006217.9800000028</v>
          </cell>
          <cell r="U12">
            <v>12957013.91</v>
          </cell>
          <cell r="V12">
            <v>6372376.739999999</v>
          </cell>
          <cell r="W12">
            <v>2564793.7800000003</v>
          </cell>
          <cell r="X12">
            <v>2135498.18</v>
          </cell>
          <cell r="Z12">
            <v>1438007.99</v>
          </cell>
          <cell r="AN12">
            <v>-927719.1905122615</v>
          </cell>
        </row>
        <row r="13">
          <cell r="K13">
            <v>1426332.8800000001</v>
          </cell>
          <cell r="L13">
            <v>1327396.07</v>
          </cell>
          <cell r="M13">
            <v>702186.91</v>
          </cell>
          <cell r="N13">
            <v>79370.56</v>
          </cell>
          <cell r="O13">
            <v>810861.67</v>
          </cell>
          <cell r="P13">
            <v>488748.36</v>
          </cell>
          <cell r="Q13">
            <v>467844.78</v>
          </cell>
          <cell r="R13">
            <v>607108.12</v>
          </cell>
          <cell r="S13">
            <v>292356.63999999996</v>
          </cell>
          <cell r="T13">
            <v>158941.50999999998</v>
          </cell>
          <cell r="U13">
            <v>828904.74</v>
          </cell>
          <cell r="V13">
            <v>601422.8599999999</v>
          </cell>
          <cell r="W13">
            <v>1021707.7000000001</v>
          </cell>
          <cell r="X13">
            <v>255846.10999999996</v>
          </cell>
          <cell r="Z13">
            <v>228363.83</v>
          </cell>
          <cell r="AN13">
            <v>-86204.38902165815</v>
          </cell>
        </row>
        <row r="14">
          <cell r="K14">
            <v>0</v>
          </cell>
          <cell r="L14">
            <v>8835.06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0.6700000000000728</v>
          </cell>
          <cell r="T14">
            <v>0</v>
          </cell>
          <cell r="U14">
            <v>0</v>
          </cell>
          <cell r="V14">
            <v>469.75</v>
          </cell>
          <cell r="W14">
            <v>0</v>
          </cell>
          <cell r="X14">
            <v>0</v>
          </cell>
          <cell r="Z14">
            <v>0</v>
          </cell>
        </row>
        <row r="15">
          <cell r="K15">
            <v>22912693.2</v>
          </cell>
          <cell r="L15">
            <v>30233123.080000002</v>
          </cell>
          <cell r="M15">
            <v>13737644</v>
          </cell>
          <cell r="N15">
            <v>1693252.5099999998</v>
          </cell>
          <cell r="O15">
            <v>16215276.539999997</v>
          </cell>
          <cell r="P15">
            <v>10345701.260000002</v>
          </cell>
          <cell r="Q15">
            <v>6336838.58</v>
          </cell>
          <cell r="R15">
            <v>11735100.049999999</v>
          </cell>
          <cell r="S15">
            <v>6768162.71</v>
          </cell>
          <cell r="T15">
            <v>3979715.190000002</v>
          </cell>
          <cell r="U15">
            <v>21716497.709999997</v>
          </cell>
          <cell r="V15">
            <v>16396761.71</v>
          </cell>
          <cell r="W15">
            <v>8750614.82</v>
          </cell>
          <cell r="X15">
            <v>5487020.080000001</v>
          </cell>
          <cell r="Z15">
            <v>3217191.46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资产负债表"/>
    </sheetNames>
    <sheetDataSet>
      <sheetData sheetId="2">
        <row r="16">
          <cell r="W16">
            <v>412689486.182148</v>
          </cell>
        </row>
        <row r="28">
          <cell r="B28">
            <v>552164188.18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检查流程"/>
      <sheetName val="科目细分类型"/>
      <sheetName val="定稿"/>
      <sheetName val="贸易伙伴"/>
      <sheetName val="原因代码"/>
      <sheetName val="移动类型"/>
      <sheetName val="功能范围"/>
      <sheetName val="总账科目表"/>
      <sheetName val="需要帐龄数据的科目"/>
      <sheetName val="模版1-科目余额发生额"/>
      <sheetName val="模版2-现金流量"/>
      <sheetName val="模版3-固定资产"/>
      <sheetName val="模版4-帐龄数据"/>
      <sheetName val="用友与SAP科目对应表-总帐科目"/>
      <sheetName val="用友与SAP科目对应表-费用科目"/>
      <sheetName val="Sheet1"/>
      <sheetName val="Sheet2"/>
    </sheetNames>
    <sheetDataSet>
      <sheetData sheetId="10">
        <row r="11">
          <cell r="L11">
            <v>29174.902147999997</v>
          </cell>
        </row>
      </sheetData>
      <sheetData sheetId="11">
        <row r="4">
          <cell r="I4">
            <v>-4197798.72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Sheet2"/>
      <sheetName val="Sheet3"/>
    </sheetNames>
    <sheetDataSet>
      <sheetData sheetId="2">
        <row r="21">
          <cell r="D21">
            <v>805457.72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FE by Co."/>
      <sheetName val="Sheet3"/>
    </sheetNames>
    <sheetDataSet>
      <sheetData sheetId="2">
        <row r="13">
          <cell r="B13">
            <v>-5433224.87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大类帐龄表"/>
      <sheetName val="Sheet3"/>
    </sheetNames>
    <sheetDataSet>
      <sheetData sheetId="2">
        <row r="18">
          <cell r="D18">
            <v>5938.85</v>
          </cell>
        </row>
        <row r="19">
          <cell r="D19">
            <v>0.17</v>
          </cell>
        </row>
        <row r="20">
          <cell r="D20">
            <v>73800</v>
          </cell>
        </row>
        <row r="21">
          <cell r="D21">
            <v>81794.94</v>
          </cell>
        </row>
        <row r="22">
          <cell r="E22">
            <v>73800.056666667</v>
          </cell>
          <cell r="F22">
            <v>1979.73</v>
          </cell>
          <cell r="G22">
            <v>3959.233333333</v>
          </cell>
          <cell r="H22">
            <v>81794.94</v>
          </cell>
          <cell r="I22">
            <v>369.00028333333506</v>
          </cell>
          <cell r="J22">
            <v>9.89865</v>
          </cell>
          <cell r="K22">
            <v>19.796166666665</v>
          </cell>
          <cell r="L22">
            <v>408.97470000000004</v>
          </cell>
        </row>
        <row r="23">
          <cell r="D23">
            <v>5681606.94</v>
          </cell>
        </row>
        <row r="24">
          <cell r="H24">
            <v>5681606.94</v>
          </cell>
          <cell r="I24">
            <v>0</v>
          </cell>
          <cell r="J24">
            <v>0</v>
          </cell>
          <cell r="K24">
            <v>0</v>
          </cell>
          <cell r="L24">
            <v>28408.034700000004</v>
          </cell>
        </row>
        <row r="25">
          <cell r="D25">
            <v>1169574.42</v>
          </cell>
        </row>
        <row r="26">
          <cell r="H26">
            <v>1169574.42</v>
          </cell>
          <cell r="I26">
            <v>0</v>
          </cell>
          <cell r="J26">
            <v>0</v>
          </cell>
          <cell r="K26">
            <v>0</v>
          </cell>
          <cell r="L26">
            <v>5847.8721</v>
          </cell>
        </row>
        <row r="27">
          <cell r="D27">
            <v>1281379.14</v>
          </cell>
        </row>
        <row r="28">
          <cell r="D28">
            <v>26687.62</v>
          </cell>
        </row>
        <row r="29">
          <cell r="D29">
            <v>1943314.82</v>
          </cell>
        </row>
        <row r="30">
          <cell r="E30">
            <v>453814</v>
          </cell>
          <cell r="F30">
            <v>854252.76</v>
          </cell>
          <cell r="H30">
            <v>1943314.82</v>
          </cell>
          <cell r="I30">
            <v>2269.07</v>
          </cell>
          <cell r="J30">
            <v>4271.2638</v>
          </cell>
          <cell r="K30">
            <v>0</v>
          </cell>
          <cell r="L30">
            <v>9716.5741</v>
          </cell>
        </row>
        <row r="31">
          <cell r="D31">
            <v>1689555.23</v>
          </cell>
        </row>
        <row r="32">
          <cell r="D32">
            <v>726223.02</v>
          </cell>
        </row>
        <row r="33">
          <cell r="D33">
            <v>1064254.17</v>
          </cell>
        </row>
        <row r="34">
          <cell r="E34">
            <v>1289408.09666666</v>
          </cell>
          <cell r="F34">
            <v>1126370.15333333</v>
          </cell>
          <cell r="H34">
            <v>1064254.17</v>
          </cell>
          <cell r="I34">
            <v>6447.0404833333</v>
          </cell>
          <cell r="J34">
            <v>5631.85076666665</v>
          </cell>
          <cell r="K34">
            <v>0</v>
          </cell>
          <cell r="L34">
            <v>5321.27085</v>
          </cell>
        </row>
        <row r="35">
          <cell r="D35">
            <v>134.87</v>
          </cell>
        </row>
        <row r="36">
          <cell r="D36">
            <v>2219.46</v>
          </cell>
        </row>
        <row r="37">
          <cell r="D37">
            <v>1364.18</v>
          </cell>
        </row>
        <row r="38">
          <cell r="D38">
            <v>16639.76</v>
          </cell>
        </row>
        <row r="39">
          <cell r="D39">
            <v>67624.92</v>
          </cell>
        </row>
        <row r="40">
          <cell r="D40">
            <v>931344.05</v>
          </cell>
        </row>
        <row r="41">
          <cell r="D41">
            <v>2409240.59</v>
          </cell>
        </row>
        <row r="42">
          <cell r="D42">
            <v>20924805.27</v>
          </cell>
        </row>
        <row r="43">
          <cell r="D43">
            <v>49573655.49</v>
          </cell>
        </row>
        <row r="44">
          <cell r="D44">
            <v>217564790.34</v>
          </cell>
        </row>
        <row r="45">
          <cell r="D45">
            <v>1565936.9</v>
          </cell>
        </row>
        <row r="46">
          <cell r="E46">
            <v>234089342.17</v>
          </cell>
          <cell r="F46">
            <v>40024038.75</v>
          </cell>
          <cell r="G46">
            <v>14752950.3766666</v>
          </cell>
          <cell r="H46">
            <v>4191424.53333333</v>
          </cell>
          <cell r="I46">
            <v>14045360.530199999</v>
          </cell>
          <cell r="J46">
            <v>12007211.625</v>
          </cell>
          <cell r="K46">
            <v>7376475.1883333</v>
          </cell>
          <cell r="L46">
            <v>4191424.53333333</v>
          </cell>
        </row>
        <row r="47">
          <cell r="D47">
            <v>29979.48</v>
          </cell>
        </row>
        <row r="48">
          <cell r="D48">
            <v>85.61</v>
          </cell>
        </row>
        <row r="49">
          <cell r="D49">
            <v>1327.92</v>
          </cell>
        </row>
        <row r="50">
          <cell r="D50">
            <v>5730.06</v>
          </cell>
        </row>
        <row r="51">
          <cell r="D51">
            <v>20493.1</v>
          </cell>
        </row>
        <row r="52">
          <cell r="D52">
            <v>195261.43</v>
          </cell>
        </row>
        <row r="53">
          <cell r="D53">
            <v>198449.52</v>
          </cell>
        </row>
        <row r="54">
          <cell r="D54">
            <v>3170950.84</v>
          </cell>
        </row>
        <row r="55">
          <cell r="D55">
            <v>23949500.74</v>
          </cell>
        </row>
        <row r="56">
          <cell r="D56">
            <v>218925273.12</v>
          </cell>
        </row>
        <row r="57">
          <cell r="E57">
            <v>226908440.033333</v>
          </cell>
          <cell r="F57">
            <v>17023317.44</v>
          </cell>
          <cell r="G57">
            <v>2180117.06666666</v>
          </cell>
          <cell r="H57">
            <v>385177.28</v>
          </cell>
          <cell r="I57">
            <v>11345422.00166665</v>
          </cell>
          <cell r="J57">
            <v>5106995.232</v>
          </cell>
          <cell r="K57">
            <v>872046.826666664</v>
          </cell>
          <cell r="L57">
            <v>385177.28</v>
          </cell>
        </row>
        <row r="58">
          <cell r="D58">
            <v>26193.3</v>
          </cell>
        </row>
        <row r="59">
          <cell r="D59">
            <v>11.64</v>
          </cell>
        </row>
        <row r="60">
          <cell r="D60">
            <v>201.84</v>
          </cell>
        </row>
        <row r="61">
          <cell r="D61">
            <v>15611.66</v>
          </cell>
        </row>
        <row r="62">
          <cell r="D62">
            <v>158851.01</v>
          </cell>
        </row>
        <row r="63">
          <cell r="D63">
            <v>83182.18</v>
          </cell>
        </row>
        <row r="64">
          <cell r="D64">
            <v>219304.63</v>
          </cell>
        </row>
        <row r="65">
          <cell r="D65">
            <v>2514902.47</v>
          </cell>
        </row>
        <row r="66">
          <cell r="D66">
            <v>5643803.49</v>
          </cell>
        </row>
        <row r="67">
          <cell r="D67">
            <v>18340976.01</v>
          </cell>
        </row>
        <row r="68">
          <cell r="E68">
            <v>20222243.84</v>
          </cell>
          <cell r="F68">
            <v>4600836.48333333</v>
          </cell>
          <cell r="G68">
            <v>1749703.19</v>
          </cell>
          <cell r="H68">
            <v>430254.716666667</v>
          </cell>
          <cell r="I68">
            <v>2022224.384</v>
          </cell>
          <cell r="J68">
            <v>1610292.7691666654</v>
          </cell>
          <cell r="K68">
            <v>874851.595</v>
          </cell>
          <cell r="L68">
            <v>430254.716666667</v>
          </cell>
        </row>
        <row r="69">
          <cell r="D69">
            <v>44999.82</v>
          </cell>
        </row>
        <row r="70">
          <cell r="D70">
            <v>1066.83</v>
          </cell>
        </row>
        <row r="71">
          <cell r="D71">
            <v>132019.82</v>
          </cell>
        </row>
        <row r="72">
          <cell r="D72">
            <v>1898331.52</v>
          </cell>
        </row>
        <row r="73">
          <cell r="D73">
            <v>1013207.85</v>
          </cell>
        </row>
        <row r="74">
          <cell r="D74">
            <v>569735.4</v>
          </cell>
        </row>
        <row r="75">
          <cell r="D75">
            <v>1326483.33</v>
          </cell>
        </row>
        <row r="76">
          <cell r="D76">
            <v>2764482.06</v>
          </cell>
        </row>
        <row r="77">
          <cell r="D77">
            <v>5291307.99</v>
          </cell>
        </row>
        <row r="78">
          <cell r="E78">
            <v>6212802.01</v>
          </cell>
          <cell r="F78">
            <v>2285149.15</v>
          </cell>
          <cell r="G78">
            <v>1074234.02</v>
          </cell>
          <cell r="H78">
            <v>3469449.44</v>
          </cell>
          <cell r="I78">
            <v>31064.01005</v>
          </cell>
          <cell r="J78">
            <v>11425.74575</v>
          </cell>
          <cell r="K78">
            <v>5371.1701</v>
          </cell>
          <cell r="L78">
            <v>17347.2472</v>
          </cell>
        </row>
        <row r="79">
          <cell r="D79">
            <v>204258.49</v>
          </cell>
        </row>
        <row r="80">
          <cell r="D80">
            <v>53691.61</v>
          </cell>
        </row>
        <row r="81">
          <cell r="D81">
            <v>7386692.1</v>
          </cell>
        </row>
        <row r="82">
          <cell r="D82">
            <v>525978.94</v>
          </cell>
        </row>
        <row r="83">
          <cell r="E83">
            <v>7404589.30333333</v>
          </cell>
          <cell r="F83">
            <v>103880.57</v>
          </cell>
          <cell r="G83">
            <v>136172.326666667</v>
          </cell>
          <cell r="H83">
            <v>525978.94</v>
          </cell>
          <cell r="I83">
            <v>37022.94651666665</v>
          </cell>
          <cell r="J83">
            <v>519.4028500000001</v>
          </cell>
          <cell r="K83">
            <v>680.861633333335</v>
          </cell>
          <cell r="L83">
            <v>2629.8947</v>
          </cell>
        </row>
        <row r="84">
          <cell r="D84">
            <v>7207187.34</v>
          </cell>
        </row>
        <row r="85">
          <cell r="H85">
            <v>7207187.34</v>
          </cell>
          <cell r="I85">
            <v>0</v>
          </cell>
          <cell r="J85">
            <v>0</v>
          </cell>
          <cell r="K85">
            <v>0</v>
          </cell>
          <cell r="L85">
            <v>36035.9367</v>
          </cell>
        </row>
        <row r="89">
          <cell r="D89">
            <v>-1547940.449999988</v>
          </cell>
          <cell r="I89">
            <v>-7739.70224999994</v>
          </cell>
        </row>
        <row r="90">
          <cell r="D90">
            <v>-2228059.649999976</v>
          </cell>
          <cell r="I90">
            <v>-133683.57899999857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2000"/>
      <sheetName val="与管理合并的核对"/>
      <sheetName val="与总记录清单的核对"/>
      <sheetName val="未实现利润分公司"/>
      <sheetName val="存货按科目"/>
      <sheetName val="与手工的核对"/>
      <sheetName val="抵消前存货金额"/>
    </sheetNames>
    <sheetDataSet>
      <sheetData sheetId="2">
        <row r="911">
          <cell r="H911">
            <v>13619139.1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销售收入和成本底稿"/>
      <sheetName val="收入成本明细表"/>
      <sheetName val="收入成本明细表IFRS"/>
      <sheetName val="Sheet2"/>
      <sheetName val="Sheet3"/>
    </sheetNames>
    <sheetDataSet>
      <sheetData sheetId="2">
        <row r="17">
          <cell r="B17">
            <v>1970940941.67555</v>
          </cell>
          <cell r="D17">
            <v>996331672.240066</v>
          </cell>
        </row>
        <row r="18">
          <cell r="B18">
            <v>2025901789.57179</v>
          </cell>
          <cell r="D18">
            <v>949719203.024691</v>
          </cell>
        </row>
        <row r="19">
          <cell r="B19">
            <v>259014867.022654</v>
          </cell>
          <cell r="D19">
            <v>122875709.115241</v>
          </cell>
        </row>
        <row r="20">
          <cell r="B20">
            <v>4255857598.27</v>
          </cell>
          <cell r="D20">
            <v>2068926584.37999</v>
          </cell>
        </row>
        <row r="27">
          <cell r="B27">
            <v>1234605.85716772</v>
          </cell>
          <cell r="D27">
            <v>595993.439221978</v>
          </cell>
        </row>
        <row r="28">
          <cell r="B28">
            <v>6634081.99075818</v>
          </cell>
          <cell r="D28">
            <v>3240663.20546817</v>
          </cell>
        </row>
        <row r="29">
          <cell r="B29">
            <v>185390.9920744</v>
          </cell>
          <cell r="D29">
            <v>55909.345309749</v>
          </cell>
        </row>
        <row r="30">
          <cell r="B30">
            <v>8054078.8400003</v>
          </cell>
          <cell r="D30">
            <v>3892565.9899999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B28">
            <v>43006075.62</v>
          </cell>
          <cell r="F28">
            <v>25171387.50667488</v>
          </cell>
        </row>
        <row r="29">
          <cell r="B29">
            <v>24019010.41</v>
          </cell>
          <cell r="F29">
            <v>15013706.266121004</v>
          </cell>
        </row>
        <row r="30">
          <cell r="B30">
            <v>2348779.53</v>
          </cell>
          <cell r="F30">
            <v>1298143.8885436757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inxi"/>
    </sheetNames>
    <sheetDataSet>
      <sheetData sheetId="0">
        <row r="3">
          <cell r="B3">
            <v>81541850.30999996</v>
          </cell>
        </row>
        <row r="4">
          <cell r="B4">
            <v>345577551.0699997</v>
          </cell>
        </row>
        <row r="5">
          <cell r="B5">
            <v>3068858017.0499964</v>
          </cell>
        </row>
        <row r="6">
          <cell r="B6">
            <v>48736028.149999954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五年数据比较"/>
      <sheetName val="五年数据比较图表"/>
      <sheetName val="五年数据比较图表-1"/>
      <sheetName val="分品牌利润表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租赁费同期比较"/>
      <sheetName val="特许权费用及收入明细"/>
      <sheetName val="递延税项"/>
      <sheetName val="长期应收款"/>
      <sheetName val="收购事项"/>
      <sheetName val="收购支付款项-千元"/>
      <sheetName val="存货帐龄及跌价准备"/>
      <sheetName val="应收账款帐龄及坏帐准备"/>
      <sheetName val="其他应收应付明细"/>
      <sheetName val="股本及储备变动表"/>
      <sheetName val="应付特许权使用费"/>
      <sheetName val="短期借款明细"/>
      <sheetName val="五大客户五大供应商"/>
      <sheetName val="经销商级别统计"/>
      <sheetName val="TOP20经销商"/>
      <sheetName val="TOP20供应商"/>
      <sheetName val="EPOS"/>
      <sheetName val="投资银行预测"/>
      <sheetName val="同行业比较"/>
      <sheetName val="EBITDA调节表"/>
      <sheetName val="店铺数量比较-半年度"/>
      <sheetName val="按0706口径划分大区销售"/>
      <sheetName val="红双喜业绩占比"/>
      <sheetName val="收入增长分析"/>
      <sheetName val="店效分析"/>
      <sheetName val="固定资产变动表-hide"/>
      <sheetName val="货币资金明细表-hide"/>
      <sheetName val="土地及无形资产变动表-hi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  <sheetName val="sapbex"/>
    </sheetNames>
    <definedNames>
      <definedName name="shapeAction"/>
    </defined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利润项目分析"/>
      <sheetName val="损益分析图表"/>
      <sheetName val="产品大类销售分析"/>
      <sheetName val="其他业务收支分析"/>
      <sheetName val="大额费用分析"/>
      <sheetName val="税项情况表"/>
      <sheetName val="资产负债项目分析"/>
      <sheetName val="应收帐款分析 "/>
      <sheetName val="其他应收款分析"/>
      <sheetName val="存货分析表"/>
      <sheetName val="固定资产分析"/>
      <sheetName val="借款清单"/>
      <sheetName val="现金流量分析表"/>
      <sheetName val="八项计提分析表"/>
      <sheetName val="经营简报"/>
      <sheetName val="日期参数列表"/>
      <sheetName val="报表填制说明"/>
      <sheetName val="报表目录"/>
      <sheetName val="报表勾稽关系检查"/>
      <sheetName val="S05-19公司概况"/>
      <sheetName val="S01财务情况说明"/>
      <sheetName val="S02利润表"/>
      <sheetName val="S03资产负债表"/>
      <sheetName val="S04现金流量表"/>
      <sheetName val="S04-1现金流量表附表"/>
      <sheetName val="S03-1货币资金"/>
      <sheetName val="S03-2短期投资"/>
      <sheetName val="S03-3应收帐款"/>
      <sheetName val="S03-4其他应收款"/>
      <sheetName val="S03-5预付帐款"/>
      <sheetName val="S03-6进销存表"/>
      <sheetName val="S03-8待摊费用"/>
      <sheetName val="S03-9长期投资"/>
      <sheetName val="S03-10固定资产及折旧表"/>
      <sheetName val="S03-11固定资产明细"/>
      <sheetName val="S03-12固定资产清理"/>
      <sheetName val="S03-13在建工程"/>
      <sheetName val="S03-14无形资产"/>
      <sheetName val="S03-15长期待摊费用"/>
      <sheetName val="S03-16资产减值准备表"/>
      <sheetName val="S03-31短期借款"/>
      <sheetName val="S03-32应付帐款"/>
      <sheetName val="S03-33预收帐款"/>
      <sheetName val="S03-34其他应付款"/>
      <sheetName val="S03-35应付工资及福利费"/>
      <sheetName val="S03-36应交税金"/>
      <sheetName val="S03-37其他应交款"/>
      <sheetName val="S03-38预提费用"/>
      <sheetName val="S03-40实收资本"/>
      <sheetName val="S03-41资本盈余公积"/>
      <sheetName val="S02-2其他业务收支"/>
      <sheetName val="S02-3营业费用"/>
      <sheetName val="期间费用1"/>
      <sheetName val="期间费用2"/>
      <sheetName val="S02-4管理费用"/>
      <sheetName val="s02-5财务费用"/>
      <sheetName val="S02-6投资收益"/>
      <sheetName val="S02-7补贴收入"/>
      <sheetName val="S02-8营业外收支"/>
      <sheetName val="S02-9以前年度损益调整"/>
      <sheetName val="S02-11经营情况统计表-当月(销售公司填)"/>
      <sheetName val="S02-12经营情况统计表-累计(销售公司填)"/>
      <sheetName val="S05-1内部销售"/>
      <sheetName val="S05-2内部采购"/>
      <sheetName val="S05-3内部往来"/>
      <sheetName val="S05-4其他内部交易表"/>
      <sheetName val="S05-5分渠道分类销售"/>
      <sheetName val="S05-8按产品月度采购表"/>
      <sheetName val="S05-6各渠道销售明细-李宁牌"/>
      <sheetName val="S05-7各渠道销售明细-KAPPA"/>
      <sheetName val="S05-8各渠道销售明细-其他品牌"/>
      <sheetName val="S05-9按供应商月度采购表"/>
      <sheetName val="S05-10商品进销比"/>
      <sheetName val="S05-13库存数量金额明细－李宁牌"/>
      <sheetName val="S05-14库存数量金额明细－KAPPA"/>
      <sheetName val="S05-15税项情况表"/>
      <sheetName val="S05-16关联交易表"/>
      <sheetName val="S05-17或有事项表"/>
      <sheetName val="S05-18承诺事项表"/>
      <sheetName val="S05-20店面数据统计表"/>
      <sheetName val="S05-24非货币性交易"/>
      <sheetName val="S05-21前35名大客户期货执行表（北体填列）"/>
      <sheetName val="S05-22期货执行表（北体填列）"/>
      <sheetName val="S05-23前15名大供应商明细表(北体填列)"/>
      <sheetName val="K01-李宁大货"/>
      <sheetName val="K02-器材"/>
      <sheetName val="K03-高尔夫"/>
      <sheetName val="K04-青少"/>
      <sheetName val="K05-其他品牌"/>
      <sheetName val="S04现金流量表 (2)"/>
      <sheetName val="S02-11经营情况统计表-当月(销售公司和动向填)"/>
      <sheetName val="S02-12经营情况统计表-累计(销售公司和动向填)"/>
      <sheetName val="S05-22各渠道销售明细-其他品牌"/>
      <sheetName val="S05-21纳税调整表"/>
      <sheetName val="S04-1现金流量表间接编制法工作底稿"/>
      <sheetName val="S03-3应收利息"/>
      <sheetName val="S03-4应收票据"/>
      <sheetName val="S03-5应收帐款"/>
      <sheetName val="S03-6其他应收款"/>
      <sheetName val="S03-7预付帐款"/>
      <sheetName val="S03-9待摊费用"/>
      <sheetName val="S03-10长期投资"/>
      <sheetName val="S03-12固定资产明细"/>
      <sheetName val="S03-11固定资产及折旧表"/>
      <sheetName val="S03-13固定资产清理"/>
      <sheetName val="S03-14在建工程"/>
      <sheetName val="S03-15无形资产"/>
      <sheetName val="S03-16长期待摊费用"/>
      <sheetName val="S03-17资产减值准备表"/>
      <sheetName val="S03-39应付票据"/>
      <sheetName val="S03-39其他流动资产(负债）"/>
      <sheetName val="S02－10折扣折让明细(北体填）"/>
      <sheetName val="S05-7各渠道销售明细-Aigle"/>
      <sheetName val="S05-10-01李宁大货"/>
      <sheetName val="S05-10-02青少"/>
      <sheetName val="S05-10-03高尔夫"/>
      <sheetName val="S05-10-04器材"/>
      <sheetName val="S05-10-07其他"/>
      <sheetName val="S05-10-05Aigle"/>
      <sheetName val="S05-10-06其他品牌"/>
      <sheetName val="S05-14库存数量金额明细－Aigle"/>
      <sheetName val="库存数量金额明细-货架"/>
      <sheetName val="库存数量金额明细-匡威"/>
      <sheetName val="S05-25按大区销售汇总"/>
      <sheetName val="S05-26合同清单"/>
      <sheetName val="S05-27其他资料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子公司"/>
      <sheetName val="经销商"/>
      <sheetName val="经销商－整理"/>
      <sheetName val="分大区销售统计0406"/>
      <sheetName val="0406分大区销售统计"/>
      <sheetName val="分大区销售统计040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李宁有限单体资产负债表"/>
      <sheetName val="间接法现金流量表同期比较"/>
      <sheetName val="五大客户五大供应商"/>
      <sheetName val="经销商级别统计"/>
      <sheetName val="李宁TOP20经销商"/>
      <sheetName val="红双喜TOP10经销商"/>
      <sheetName val="TOP20供应商"/>
      <sheetName val="EPOS"/>
      <sheetName val="李宁牌店面分布图"/>
      <sheetName val="投资银行预测"/>
      <sheetName val="同行业比较"/>
      <sheetName val="EBITDA调节表"/>
      <sheetName val="利润表项目比较-半年度"/>
      <sheetName val="店铺数量比较-半年度"/>
      <sheetName val="按06年口径划分大区销售"/>
      <sheetName val="李宁与安踏比较"/>
      <sheetName val="收入增长分析"/>
      <sheetName val="店效分析"/>
      <sheetName val="库销比"/>
      <sheetName val="李宁牌产品单价数量情况"/>
      <sheetName val="李宁有限公司资产负债表"/>
      <sheetName val="店面分布图"/>
    </sheetNames>
    <sheetDataSet>
      <sheetData sheetId="15">
        <row r="1">
          <cell r="A1" t="str">
            <v>李宁与安踏主要指标及报表项目比较：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"/>
      <sheetName val="分配表"/>
      <sheetName val="现金合并式"/>
      <sheetName val="指标"/>
      <sheetName val="--&gt;"/>
      <sheetName val="本年资产"/>
      <sheetName val="本年权益"/>
      <sheetName val="本年利润"/>
      <sheetName val="本年分配"/>
      <sheetName val="现金"/>
      <sheetName val="现金附注"/>
      <sheetName val="试算平衡"/>
      <sheetName val="汇总抵消 "/>
      <sheetName val="==》"/>
      <sheetName val="资产负债表分析"/>
      <sheetName val="利润表分析"/>
      <sheetName val="分配表分析"/>
      <sheetName val="现金流量表分析"/>
      <sheetName val="附注分析"/>
      <sheetName val="柳林资产负债"/>
      <sheetName val="柳林利润"/>
      <sheetName val="柳林分配"/>
      <sheetName val="柳林试算"/>
      <sheetName val="资产负债分析"/>
      <sheetName val="汇总抵消"/>
      <sheetName val="利润分析"/>
      <sheetName val="上年分配"/>
      <sheetName val="xxxxxx"/>
      <sheetName val="上年资产"/>
      <sheetName val="上年利润"/>
      <sheetName val="上年调整"/>
      <sheetName val="总部资产负债"/>
      <sheetName val="总部利润"/>
      <sheetName val="总部分配"/>
      <sheetName val="总部试算"/>
      <sheetName val="总部调整"/>
      <sheetName val="离石资产负债"/>
      <sheetName val="离石利润"/>
      <sheetName val="离石分配"/>
      <sheetName val="离石试算"/>
      <sheetName val="离石调整"/>
      <sheetName val="柳林调整"/>
      <sheetName val="附表2应收明细"/>
    </sheetNames>
    <sheetDataSet>
      <sheetData sheetId="13">
        <row r="1">
          <cell r="M1" t="str">
            <v>数据</v>
          </cell>
        </row>
        <row r="2">
          <cell r="K2" t="str">
            <v>一级</v>
          </cell>
          <cell r="L2" t="str">
            <v>二级</v>
          </cell>
          <cell r="M2" t="str">
            <v>求和项:借方</v>
          </cell>
          <cell r="N2" t="str">
            <v>求和项:贷方</v>
          </cell>
          <cell r="O2" t="str">
            <v>求和项:借方2</v>
          </cell>
          <cell r="P2" t="str">
            <v>求和项:贷方2</v>
          </cell>
        </row>
        <row r="3">
          <cell r="K3" t="str">
            <v>(空白)</v>
          </cell>
          <cell r="L3" t="str">
            <v>(空白)</v>
          </cell>
        </row>
        <row r="4">
          <cell r="J4" t="str">
            <v>索引号</v>
          </cell>
          <cell r="K4" t="str">
            <v>(空白) 分类汇总</v>
          </cell>
        </row>
        <row r="5">
          <cell r="J5" t="str">
            <v>Z7-1</v>
          </cell>
          <cell r="K5" t="str">
            <v>资本公积</v>
          </cell>
          <cell r="L5" t="str">
            <v>(空白)</v>
          </cell>
          <cell r="M5">
            <v>54052.85</v>
          </cell>
        </row>
        <row r="6">
          <cell r="J6" t="str">
            <v>页次</v>
          </cell>
          <cell r="K6" t="str">
            <v>资本公积 分类汇总</v>
          </cell>
          <cell r="L6">
            <v>0</v>
          </cell>
          <cell r="M6">
            <v>54052.85</v>
          </cell>
        </row>
        <row r="7">
          <cell r="J7">
            <v>1</v>
          </cell>
          <cell r="K7" t="str">
            <v>盈余公积</v>
          </cell>
          <cell r="L7" t="str">
            <v>(空白)</v>
          </cell>
          <cell r="M7">
            <v>32341.29</v>
          </cell>
        </row>
        <row r="8">
          <cell r="K8" t="str">
            <v>盈余公积 分类汇总</v>
          </cell>
          <cell r="L8">
            <v>0</v>
          </cell>
          <cell r="M8">
            <v>32341.29</v>
          </cell>
        </row>
        <row r="9">
          <cell r="J9" t="str">
            <v>贷方</v>
          </cell>
          <cell r="K9" t="str">
            <v>投资收益</v>
          </cell>
          <cell r="L9" t="str">
            <v>(空白)</v>
          </cell>
          <cell r="M9">
            <v>0</v>
          </cell>
          <cell r="N9">
            <v>0</v>
          </cell>
          <cell r="O9">
            <v>0</v>
          </cell>
          <cell r="P9">
            <v>-727607.589</v>
          </cell>
        </row>
        <row r="10">
          <cell r="K10" t="str">
            <v>投资收益 分类汇总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-727607.589</v>
          </cell>
        </row>
        <row r="11">
          <cell r="K11" t="str">
            <v>实收资本         </v>
          </cell>
          <cell r="L11" t="str">
            <v>(空白)</v>
          </cell>
          <cell r="M11">
            <v>23250000</v>
          </cell>
        </row>
        <row r="12">
          <cell r="K12" t="str">
            <v>实收资本          分类汇总</v>
          </cell>
          <cell r="L12">
            <v>0</v>
          </cell>
          <cell r="M12">
            <v>23250000</v>
          </cell>
        </row>
        <row r="13">
          <cell r="K13" t="str">
            <v>未分配利润</v>
          </cell>
          <cell r="L13" t="str">
            <v>(空白)</v>
          </cell>
          <cell r="M13">
            <v>-3131154.98</v>
          </cell>
        </row>
        <row r="14">
          <cell r="K14" t="str">
            <v>未分配利润 分类汇总</v>
          </cell>
          <cell r="L14">
            <v>0</v>
          </cell>
          <cell r="M14">
            <v>-3131154.98</v>
          </cell>
        </row>
        <row r="15">
          <cell r="K15" t="str">
            <v>本年利润</v>
          </cell>
          <cell r="L15" t="str">
            <v>(空白)</v>
          </cell>
          <cell r="M15">
            <v>-902541.39</v>
          </cell>
        </row>
        <row r="16">
          <cell r="K16" t="str">
            <v>本年利润 分类汇总</v>
          </cell>
          <cell r="L16">
            <v>0</v>
          </cell>
          <cell r="M16">
            <v>-902541.39</v>
          </cell>
        </row>
        <row r="17">
          <cell r="K17" t="str">
            <v>年初未分配利润   </v>
          </cell>
          <cell r="L17" t="str">
            <v>(空白)</v>
          </cell>
          <cell r="M17">
            <v>0</v>
          </cell>
          <cell r="N17">
            <v>0</v>
          </cell>
          <cell r="O17">
            <v>0</v>
          </cell>
          <cell r="P17">
            <v>-42620.936000000074</v>
          </cell>
        </row>
        <row r="18">
          <cell r="K18" t="str">
            <v>年初未分配利润    分类汇总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-42620.936000000074</v>
          </cell>
        </row>
        <row r="19">
          <cell r="K19" t="str">
            <v>少数股东权益  </v>
          </cell>
          <cell r="L19" t="str">
            <v>(空白)</v>
          </cell>
          <cell r="M19">
            <v>0</v>
          </cell>
          <cell r="N19">
            <v>3964610.5560000003</v>
          </cell>
        </row>
        <row r="20">
          <cell r="K20" t="str">
            <v>少数股东权益   分类汇总</v>
          </cell>
          <cell r="L20">
            <v>0</v>
          </cell>
          <cell r="M20">
            <v>0</v>
          </cell>
          <cell r="N20">
            <v>3964610.5560000003</v>
          </cell>
        </row>
        <row r="21">
          <cell r="K21" t="str">
            <v>长期投资     </v>
          </cell>
          <cell r="L21" t="str">
            <v>(空白)</v>
          </cell>
          <cell r="M21">
            <v>0</v>
          </cell>
          <cell r="N21">
            <v>16277998.260000002</v>
          </cell>
        </row>
        <row r="22">
          <cell r="K22" t="str">
            <v>长期投资      分类汇总</v>
          </cell>
          <cell r="L22">
            <v>0</v>
          </cell>
          <cell r="M22">
            <v>0</v>
          </cell>
          <cell r="N22">
            <v>16277998.260000002</v>
          </cell>
        </row>
        <row r="23">
          <cell r="K23" t="str">
            <v>少数股东收益</v>
          </cell>
          <cell r="L23" t="str">
            <v>(空白)</v>
          </cell>
          <cell r="M23">
            <v>0</v>
          </cell>
          <cell r="N23">
            <v>0</v>
          </cell>
          <cell r="O23">
            <v>0</v>
          </cell>
          <cell r="P23">
            <v>-169682.521</v>
          </cell>
        </row>
        <row r="24">
          <cell r="K24" t="str">
            <v>少数股东收益 分类汇总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-169682.521</v>
          </cell>
        </row>
        <row r="25">
          <cell r="K25" t="str">
            <v>总计</v>
          </cell>
          <cell r="L25">
            <v>0</v>
          </cell>
          <cell r="M25">
            <v>19302697.77</v>
          </cell>
          <cell r="N25">
            <v>20242608.816000003</v>
          </cell>
          <cell r="O25">
            <v>0</v>
          </cell>
          <cell r="P25">
            <v>-939911.0460000001</v>
          </cell>
        </row>
        <row r="40">
          <cell r="J4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狐步资产"/>
      <sheetName val="健服资产"/>
      <sheetName val="北体资产"/>
      <sheetName val="合并资产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资产负债表"/>
      <sheetName val="利润表"/>
      <sheetName val="分配表"/>
      <sheetName val="现金合并式"/>
      <sheetName val="指标"/>
      <sheetName val="--&gt;"/>
      <sheetName val="上年资产"/>
      <sheetName val="上年利润"/>
      <sheetName val="上年分配"/>
      <sheetName val="上年调整"/>
      <sheetName val="试算平衡"/>
      <sheetName val="本年资产"/>
      <sheetName val="本年权益"/>
      <sheetName val="本年利润"/>
      <sheetName val="本年分配"/>
      <sheetName val="现金"/>
      <sheetName val="汇总抵消"/>
      <sheetName val="==》"/>
      <sheetName val="总部资产负债"/>
      <sheetName val="总部利润"/>
      <sheetName val="总部分配"/>
      <sheetName val="总部试算"/>
      <sheetName val="总部调整"/>
      <sheetName val="离石资产负债"/>
      <sheetName val="离石利润"/>
      <sheetName val="离石分配"/>
      <sheetName val="离石试算"/>
      <sheetName val="离石调整"/>
      <sheetName val="柳林资产负债"/>
      <sheetName val="柳林利润"/>
      <sheetName val="柳林分配"/>
      <sheetName val="柳林试算"/>
      <sheetName val="柳林调整"/>
      <sheetName val="河坡资产负债"/>
      <sheetName val="河坡利润"/>
      <sheetName val="河坡分配"/>
      <sheetName val="河坡试算"/>
      <sheetName val="河坡调整"/>
      <sheetName val="《=="/>
      <sheetName val="资产负债分析"/>
      <sheetName val="利润分析"/>
      <sheetName val="分配分析"/>
      <sheetName val="附表2应收明细"/>
      <sheetName val="附表1应收"/>
      <sheetName val="资䚧负债表"/>
      <sheetName val="上屴利润"/>
      <sheetName val="崻部试算"/>
      <sheetName val="怫部调整"/>
      <sheetName val="离矓试算"/>
      <sheetName val="梳坡利润"/>
      <sheetName val="氳坡分配"/>
      <sheetName val="河坡讕算"/>
      <sheetName val="2005年收入明细new"/>
      <sheetName val="2004年收入数据new"/>
      <sheetName val="汇总抵消 "/>
    </sheetNames>
    <sheetDataSet>
      <sheetData sheetId="17">
        <row r="1">
          <cell r="M1" t="str">
            <v>数据</v>
          </cell>
        </row>
        <row r="2">
          <cell r="K2" t="str">
            <v>一级</v>
          </cell>
          <cell r="L2" t="str">
            <v>二级</v>
          </cell>
          <cell r="M2" t="str">
            <v>求和项:借方</v>
          </cell>
          <cell r="N2" t="str">
            <v>求和项:贷方</v>
          </cell>
          <cell r="O2" t="str">
            <v>求和项:借方2</v>
          </cell>
          <cell r="P2" t="str">
            <v>求和项:贷方2</v>
          </cell>
          <cell r="Q2" t="str">
            <v>求和项:借方3</v>
          </cell>
          <cell r="R2" t="str">
            <v>求和项:贷方3</v>
          </cell>
        </row>
        <row r="3">
          <cell r="K3" t="str">
            <v>(空白)</v>
          </cell>
          <cell r="L3" t="str">
            <v>(空白)</v>
          </cell>
        </row>
        <row r="4">
          <cell r="K4" t="str">
            <v>(空白) 分类汇总</v>
          </cell>
        </row>
        <row r="5">
          <cell r="K5" t="str">
            <v>其他流动负债</v>
          </cell>
          <cell r="L5" t="str">
            <v>(空白)</v>
          </cell>
          <cell r="M5">
            <v>571251753.82</v>
          </cell>
        </row>
        <row r="6">
          <cell r="K6" t="str">
            <v>其他流动负债 分类汇总</v>
          </cell>
          <cell r="L6">
            <v>0</v>
          </cell>
          <cell r="M6">
            <v>571251753.82</v>
          </cell>
        </row>
        <row r="7">
          <cell r="K7" t="str">
            <v>其他流动资产</v>
          </cell>
          <cell r="L7" t="str">
            <v>(空白)</v>
          </cell>
          <cell r="M7">
            <v>0</v>
          </cell>
          <cell r="N7">
            <v>571251753.82</v>
          </cell>
        </row>
        <row r="8">
          <cell r="K8" t="str">
            <v>其他流动资产 分类汇总</v>
          </cell>
          <cell r="L8">
            <v>0</v>
          </cell>
          <cell r="M8">
            <v>0</v>
          </cell>
          <cell r="N8">
            <v>571251753.82</v>
          </cell>
        </row>
        <row r="9">
          <cell r="K9" t="str">
            <v>总计</v>
          </cell>
          <cell r="L9">
            <v>0</v>
          </cell>
          <cell r="M9">
            <v>571251753.82</v>
          </cell>
          <cell r="N9">
            <v>571251753.82</v>
          </cell>
        </row>
      </sheetData>
      <sheetData sheetId="23">
        <row r="1">
          <cell r="M1" t="str">
            <v>数据</v>
          </cell>
        </row>
        <row r="2">
          <cell r="J2" t="str">
            <v>类别</v>
          </cell>
          <cell r="K2" t="str">
            <v>一级</v>
          </cell>
          <cell r="L2" t="str">
            <v>二级</v>
          </cell>
          <cell r="M2" t="str">
            <v>求和项:借方</v>
          </cell>
          <cell r="N2" t="str">
            <v>求和项:借方2</v>
          </cell>
          <cell r="O2" t="str">
            <v>求和项:贷方</v>
          </cell>
          <cell r="P2" t="str">
            <v>求和项:贷方2</v>
          </cell>
        </row>
        <row r="3">
          <cell r="J3" t="str">
            <v>(空白)</v>
          </cell>
          <cell r="K3" t="str">
            <v>(空白)</v>
          </cell>
          <cell r="L3" t="str">
            <v>(空白)</v>
          </cell>
        </row>
        <row r="4">
          <cell r="L4">
            <v>0</v>
          </cell>
          <cell r="M4">
            <v>53987143.91000001</v>
          </cell>
          <cell r="N4">
            <v>164520</v>
          </cell>
          <cell r="O4">
            <v>43574755.480000004</v>
          </cell>
          <cell r="P4">
            <v>10576908.43</v>
          </cell>
        </row>
        <row r="5">
          <cell r="K5" t="str">
            <v>(空白) 分类汇总</v>
          </cell>
          <cell r="L5">
            <v>0</v>
          </cell>
          <cell r="M5">
            <v>53987143.91000001</v>
          </cell>
          <cell r="N5">
            <v>164520</v>
          </cell>
          <cell r="O5">
            <v>43574755.480000004</v>
          </cell>
          <cell r="P5">
            <v>10576908.43</v>
          </cell>
        </row>
        <row r="6">
          <cell r="J6" t="str">
            <v>调整</v>
          </cell>
          <cell r="K6" t="str">
            <v>管理费用</v>
          </cell>
          <cell r="L6" t="str">
            <v>(空白)</v>
          </cell>
          <cell r="M6">
            <v>0</v>
          </cell>
          <cell r="N6">
            <v>164520</v>
          </cell>
          <cell r="O6">
            <v>0</v>
          </cell>
          <cell r="P6">
            <v>10576908.43</v>
          </cell>
        </row>
        <row r="7">
          <cell r="K7" t="str">
            <v>管理费用 分类汇总</v>
          </cell>
          <cell r="L7">
            <v>0</v>
          </cell>
          <cell r="M7">
            <v>0</v>
          </cell>
          <cell r="N7">
            <v>164520</v>
          </cell>
          <cell r="O7">
            <v>0</v>
          </cell>
          <cell r="P7">
            <v>10576908.43</v>
          </cell>
        </row>
        <row r="8">
          <cell r="K8" t="str">
            <v>坏帐准备</v>
          </cell>
          <cell r="L8" t="str">
            <v>(空白)</v>
          </cell>
          <cell r="M8">
            <v>10576908.43</v>
          </cell>
          <cell r="N8">
            <v>0</v>
          </cell>
          <cell r="O8">
            <v>17474019.41</v>
          </cell>
        </row>
        <row r="9">
          <cell r="K9" t="str">
            <v>坏帐准备 分类汇总</v>
          </cell>
          <cell r="L9">
            <v>0</v>
          </cell>
          <cell r="M9">
            <v>10576908.43</v>
          </cell>
          <cell r="N9">
            <v>0</v>
          </cell>
          <cell r="O9">
            <v>17474019.41</v>
          </cell>
        </row>
        <row r="10">
          <cell r="K10" t="str">
            <v>固定资产</v>
          </cell>
          <cell r="L10" t="str">
            <v>车辆</v>
          </cell>
          <cell r="M10">
            <v>200</v>
          </cell>
        </row>
        <row r="11">
          <cell r="K11" t="str">
            <v>固定资产 分类汇总</v>
          </cell>
          <cell r="L11">
            <v>0</v>
          </cell>
          <cell r="M11">
            <v>200</v>
          </cell>
        </row>
        <row r="12">
          <cell r="K12" t="str">
            <v>利润分配</v>
          </cell>
          <cell r="L12" t="str">
            <v>应付优先股股利</v>
          </cell>
          <cell r="M12">
            <v>2331816.64</v>
          </cell>
        </row>
        <row r="13">
          <cell r="L13" t="str">
            <v>年初未分配利润</v>
          </cell>
          <cell r="M13">
            <v>24499954.66</v>
          </cell>
          <cell r="N13">
            <v>0</v>
          </cell>
          <cell r="O13">
            <v>4094092.84</v>
          </cell>
        </row>
        <row r="14">
          <cell r="L14" t="str">
            <v>提取法定盈余公积</v>
          </cell>
          <cell r="M14">
            <v>6072085.67</v>
          </cell>
        </row>
        <row r="15">
          <cell r="L15" t="str">
            <v>提取法定公益金</v>
          </cell>
          <cell r="M15">
            <v>6072085.67</v>
          </cell>
        </row>
        <row r="16">
          <cell r="K16" t="str">
            <v>利润分配 分类汇总</v>
          </cell>
          <cell r="L16">
            <v>0</v>
          </cell>
          <cell r="M16">
            <v>38975942.64</v>
          </cell>
          <cell r="N16">
            <v>0</v>
          </cell>
          <cell r="O16">
            <v>4094092.84</v>
          </cell>
        </row>
        <row r="17">
          <cell r="K17" t="str">
            <v>其他流动资产</v>
          </cell>
          <cell r="L17" t="str">
            <v>柳林</v>
          </cell>
          <cell r="M17">
            <v>0</v>
          </cell>
          <cell r="N17">
            <v>0</v>
          </cell>
          <cell r="O17">
            <v>7025935.25</v>
          </cell>
        </row>
        <row r="18">
          <cell r="K18" t="str">
            <v>其他流动资产 分类汇总</v>
          </cell>
          <cell r="L18">
            <v>0</v>
          </cell>
          <cell r="M18">
            <v>0</v>
          </cell>
          <cell r="N18">
            <v>0</v>
          </cell>
          <cell r="O18">
            <v>7025935.25</v>
          </cell>
        </row>
        <row r="19">
          <cell r="K19" t="str">
            <v>其他应付款</v>
          </cell>
          <cell r="L19" t="str">
            <v>华星耐热</v>
          </cell>
          <cell r="M19">
            <v>0</v>
          </cell>
          <cell r="N19">
            <v>0</v>
          </cell>
          <cell r="O19">
            <v>200</v>
          </cell>
        </row>
        <row r="20">
          <cell r="K20" t="str">
            <v>其他应付款 分类汇总</v>
          </cell>
          <cell r="L20">
            <v>0</v>
          </cell>
          <cell r="M20">
            <v>0</v>
          </cell>
          <cell r="N20">
            <v>0</v>
          </cell>
          <cell r="O20">
            <v>200</v>
          </cell>
        </row>
        <row r="21">
          <cell r="K21" t="str">
            <v>其他流动负债</v>
          </cell>
          <cell r="L21" t="str">
            <v>其他分公司</v>
          </cell>
          <cell r="M21">
            <v>0</v>
          </cell>
          <cell r="N21">
            <v>0</v>
          </cell>
          <cell r="O21">
            <v>2331816.64</v>
          </cell>
        </row>
        <row r="22">
          <cell r="K22" t="str">
            <v>其他流动负债 分类汇总</v>
          </cell>
          <cell r="L22">
            <v>0</v>
          </cell>
          <cell r="M22">
            <v>0</v>
          </cell>
          <cell r="N22">
            <v>0</v>
          </cell>
          <cell r="O22">
            <v>2331816.64</v>
          </cell>
        </row>
        <row r="23">
          <cell r="K23" t="str">
            <v>盈余公积</v>
          </cell>
          <cell r="L23" t="str">
            <v>(空白)</v>
          </cell>
          <cell r="M23">
            <v>4094092.84</v>
          </cell>
          <cell r="N23">
            <v>0</v>
          </cell>
          <cell r="O23">
            <v>12144171.34</v>
          </cell>
        </row>
        <row r="24">
          <cell r="K24" t="str">
            <v>盈余公积 分类汇总</v>
          </cell>
          <cell r="L24">
            <v>0</v>
          </cell>
          <cell r="M24">
            <v>4094092.84</v>
          </cell>
          <cell r="N24">
            <v>0</v>
          </cell>
          <cell r="O24">
            <v>12144171.34</v>
          </cell>
        </row>
        <row r="25">
          <cell r="K25" t="str">
            <v>累计折旧</v>
          </cell>
          <cell r="L25" t="str">
            <v>(空白)</v>
          </cell>
          <cell r="M25">
            <v>0</v>
          </cell>
          <cell r="N25">
            <v>0</v>
          </cell>
          <cell r="O25">
            <v>52520</v>
          </cell>
        </row>
        <row r="26">
          <cell r="K26" t="str">
            <v>累计折旧 分类汇总</v>
          </cell>
          <cell r="L26">
            <v>0</v>
          </cell>
          <cell r="M26">
            <v>0</v>
          </cell>
          <cell r="N26">
            <v>0</v>
          </cell>
          <cell r="O26">
            <v>52520</v>
          </cell>
        </row>
        <row r="27">
          <cell r="K27" t="str">
            <v>无形资产</v>
          </cell>
          <cell r="L27" t="str">
            <v>土地使用权</v>
          </cell>
          <cell r="M27">
            <v>0</v>
          </cell>
          <cell r="N27">
            <v>0</v>
          </cell>
          <cell r="O27">
            <v>112000</v>
          </cell>
        </row>
        <row r="28">
          <cell r="K28" t="str">
            <v>无形资产 分类汇总</v>
          </cell>
          <cell r="L28">
            <v>0</v>
          </cell>
          <cell r="M28">
            <v>0</v>
          </cell>
          <cell r="N28">
            <v>0</v>
          </cell>
          <cell r="O28">
            <v>112000</v>
          </cell>
        </row>
        <row r="29">
          <cell r="J29" t="str">
            <v>重分类</v>
          </cell>
          <cell r="K29" t="str">
            <v>其他应收款</v>
          </cell>
          <cell r="L29" t="str">
            <v>(空白)</v>
          </cell>
          <cell r="M29">
            <v>340000</v>
          </cell>
        </row>
        <row r="30">
          <cell r="K30" t="str">
            <v>其他应收款 分类汇总</v>
          </cell>
          <cell r="L30">
            <v>0</v>
          </cell>
          <cell r="M30">
            <v>340000</v>
          </cell>
        </row>
        <row r="31">
          <cell r="K31" t="str">
            <v>其他应付款</v>
          </cell>
          <cell r="L31" t="str">
            <v>金马煤焦</v>
          </cell>
          <cell r="M31">
            <v>0</v>
          </cell>
          <cell r="N31">
            <v>0</v>
          </cell>
          <cell r="O31">
            <v>340000</v>
          </cell>
        </row>
        <row r="32">
          <cell r="K32" t="str">
            <v>其他应付款 分类汇总</v>
          </cell>
          <cell r="L32">
            <v>0</v>
          </cell>
          <cell r="M32">
            <v>0</v>
          </cell>
          <cell r="N32">
            <v>0</v>
          </cell>
          <cell r="O32">
            <v>340000</v>
          </cell>
        </row>
        <row r="33">
          <cell r="J33" t="str">
            <v>总计</v>
          </cell>
          <cell r="K33">
            <v>0</v>
          </cell>
          <cell r="L33">
            <v>0</v>
          </cell>
          <cell r="M33">
            <v>107974287.82000002</v>
          </cell>
          <cell r="N33">
            <v>329040</v>
          </cell>
          <cell r="O33">
            <v>87149510.96000001</v>
          </cell>
          <cell r="P33">
            <v>21153816.86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5年趋势"/>
      <sheetName val="品牌"/>
      <sheetName val="KPI"/>
      <sheetName val="P&amp;L简表 (2)"/>
      <sheetName val="BS"/>
      <sheetName val="CF"/>
      <sheetName val="产品"/>
      <sheetName val="产品结构"/>
      <sheetName val="费用 (3)"/>
      <sheetName val="AR"/>
      <sheetName val="营运周转天数V2"/>
      <sheetName val="零售收入&amp;存货"/>
      <sheetName val="ar1"/>
      <sheetName val="Sheet1"/>
      <sheetName val="LN"/>
      <sheetName val="AIGLE主要财务指标"/>
      <sheetName val="国际部"/>
      <sheetName val="大卖场主要财务指标"/>
      <sheetName val="室内运动事业部"/>
      <sheetName val="LOTTO主要财务指标"/>
      <sheetName val="Kason"/>
      <sheetName val="CF-1"/>
      <sheetName val="Sheet2"/>
      <sheetName val="按税种-计提"/>
      <sheetName val="Language"/>
    </sheetNames>
    <sheetDataSet>
      <sheetData sheetId="4">
        <row r="14">
          <cell r="D14">
            <v>4916</v>
          </cell>
          <cell r="M14">
            <v>3857</v>
          </cell>
        </row>
        <row r="28">
          <cell r="D28">
            <v>2695.6</v>
          </cell>
          <cell r="M28">
            <v>1889.8</v>
          </cell>
        </row>
      </sheetData>
      <sheetData sheetId="24">
        <row r="5">
          <cell r="J5" t="str">
            <v>EN</v>
          </cell>
        </row>
        <row r="15">
          <cell r="B15" t="str">
            <v>Item</v>
          </cell>
          <cell r="I15" t="str">
            <v>项目</v>
          </cell>
        </row>
        <row r="27">
          <cell r="B27" t="str">
            <v>Profitability index </v>
          </cell>
          <cell r="I27" t="str">
            <v>盈利能力指标</v>
          </cell>
        </row>
        <row r="28">
          <cell r="B28" t="str">
            <v>Efficiency index</v>
          </cell>
          <cell r="I28" t="str">
            <v>营运效率指标</v>
          </cell>
        </row>
        <row r="29">
          <cell r="B29" t="str">
            <v>Turnover</v>
          </cell>
          <cell r="I29" t="str">
            <v>营业额</v>
          </cell>
        </row>
        <row r="30">
          <cell r="B30" t="str">
            <v>GP</v>
          </cell>
          <cell r="I30" t="str">
            <v>毛利</v>
          </cell>
        </row>
        <row r="31">
          <cell r="B31" t="str">
            <v>Gross Margin</v>
          </cell>
          <cell r="I31" t="str">
            <v>毛利率</v>
          </cell>
        </row>
        <row r="32">
          <cell r="B32" t="str">
            <v>Expenses</v>
          </cell>
          <cell r="I32" t="str">
            <v>费用</v>
          </cell>
        </row>
        <row r="33">
          <cell r="B33" t="str">
            <v>% of turnover</v>
          </cell>
          <cell r="I33" t="str">
            <v>费用率</v>
          </cell>
        </row>
        <row r="34">
          <cell r="B34" t="str">
            <v>Profit before taxation </v>
          </cell>
          <cell r="I34" t="str">
            <v>税前利润</v>
          </cell>
        </row>
        <row r="35">
          <cell r="B35" t="str">
            <v>Income tax</v>
          </cell>
          <cell r="I35" t="str">
            <v>所得税</v>
          </cell>
        </row>
        <row r="36">
          <cell r="B36" t="str">
            <v>Income tax %</v>
          </cell>
          <cell r="I36" t="str">
            <v>所得税率</v>
          </cell>
        </row>
        <row r="37">
          <cell r="B37" t="str">
            <v>Net profit</v>
          </cell>
          <cell r="I37" t="str">
            <v>净利润</v>
          </cell>
        </row>
        <row r="38">
          <cell r="B38" t="str">
            <v>% of turnover</v>
          </cell>
          <cell r="I38" t="str">
            <v>净利润率</v>
          </cell>
        </row>
        <row r="39">
          <cell r="B39" t="str">
            <v>EBITDA</v>
          </cell>
          <cell r="I39" t="str">
            <v>EBITDA</v>
          </cell>
        </row>
        <row r="40">
          <cell r="B40" t="str">
            <v>ROA</v>
          </cell>
          <cell r="I40" t="str">
            <v>总资产收益率/ROA</v>
          </cell>
        </row>
        <row r="41">
          <cell r="B41" t="str">
            <v>ROE</v>
          </cell>
          <cell r="I41" t="str">
            <v>净资产收益率/ROE</v>
          </cell>
        </row>
        <row r="42">
          <cell r="B42" t="str">
            <v>EBITDA%</v>
          </cell>
          <cell r="I42" t="str">
            <v>EBITDA%</v>
          </cell>
        </row>
        <row r="45">
          <cell r="B45" t="str">
            <v>Expenses &amp; Cost</v>
          </cell>
        </row>
        <row r="46">
          <cell r="B46" t="str">
            <v>HR expense</v>
          </cell>
          <cell r="I46" t="str">
            <v>人力费用</v>
          </cell>
        </row>
        <row r="47">
          <cell r="B47" t="str">
            <v>Marketing Expense</v>
          </cell>
          <cell r="I47" t="str">
            <v>市场费用</v>
          </cell>
        </row>
        <row r="48">
          <cell r="B48" t="str">
            <v>Administrative Expense</v>
          </cell>
          <cell r="I48" t="str">
            <v>日常费用</v>
          </cell>
        </row>
        <row r="49">
          <cell r="B49" t="str">
            <v>R&amp;D (Expenses)</v>
          </cell>
          <cell r="I49" t="str">
            <v>开发费用</v>
          </cell>
        </row>
        <row r="50">
          <cell r="B50" t="str">
            <v>Rental expense</v>
          </cell>
          <cell r="I50" t="str">
            <v>租赁及物业费用</v>
          </cell>
        </row>
        <row r="51">
          <cell r="B51" t="str">
            <v>Transportation costs</v>
          </cell>
          <cell r="I51" t="str">
            <v>物流费用</v>
          </cell>
        </row>
        <row r="68">
          <cell r="B68" t="str">
            <v>A/R turnover</v>
          </cell>
          <cell r="I68" t="str">
            <v>应收周转天数</v>
          </cell>
        </row>
        <row r="69">
          <cell r="B69" t="str">
            <v>Inventory turnover</v>
          </cell>
          <cell r="I69" t="str">
            <v>存货周转天数</v>
          </cell>
        </row>
        <row r="70">
          <cell r="B70" t="str">
            <v>A/P turnover</v>
          </cell>
          <cell r="I70" t="str">
            <v>应付周转天数</v>
          </cell>
        </row>
        <row r="71">
          <cell r="B71" t="str">
            <v>Cash cycle</v>
          </cell>
          <cell r="I71" t="str">
            <v>现金循环周期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收入050731new"/>
      <sheetName val="2005年收入明细new"/>
      <sheetName val="2004年收入数据new"/>
      <sheetName val="附表2应收明细"/>
    </sheetNames>
    <sheetDataSet>
      <sheetData sheetId="1">
        <row r="3">
          <cell r="M3" t="str">
            <v>1-7内部交易调整数据</v>
          </cell>
        </row>
        <row r="4">
          <cell r="A4" t="str">
            <v>大区</v>
          </cell>
          <cell r="B4" t="str">
            <v>求和项:Jan</v>
          </cell>
          <cell r="C4" t="str">
            <v>求和项:Feb</v>
          </cell>
          <cell r="D4" t="str">
            <v>求和项:Mar</v>
          </cell>
          <cell r="E4" t="str">
            <v>求和项:Apr</v>
          </cell>
          <cell r="F4" t="str">
            <v>subtotal(1-4)</v>
          </cell>
          <cell r="G4" t="str">
            <v>求和项:May</v>
          </cell>
          <cell r="H4" t="str">
            <v>subtotal(1-5)</v>
          </cell>
          <cell r="I4" t="str">
            <v>求和项:Jun</v>
          </cell>
          <cell r="J4" t="str">
            <v>sbutotal(1-6)</v>
          </cell>
          <cell r="K4" t="str">
            <v>求和项:Jul</v>
          </cell>
          <cell r="L4" t="str">
            <v>subtotal(1-7)</v>
          </cell>
          <cell r="N4" t="str">
            <v>求和项:Aug</v>
          </cell>
        </row>
        <row r="5">
          <cell r="A5" t="str">
            <v>大卖厂</v>
          </cell>
          <cell r="B5">
            <v>441.5148599999989</v>
          </cell>
          <cell r="C5">
            <v>422.57223</v>
          </cell>
          <cell r="D5">
            <v>2070.87424</v>
          </cell>
          <cell r="E5">
            <v>1044.97065</v>
          </cell>
          <cell r="F5">
            <v>3979.9319799999994</v>
          </cell>
          <cell r="G5">
            <v>1076.93531</v>
          </cell>
          <cell r="H5">
            <v>5056.867289999999</v>
          </cell>
          <cell r="I5">
            <v>2031.7995</v>
          </cell>
          <cell r="J5">
            <v>7088.666789999999</v>
          </cell>
          <cell r="K5">
            <v>1612.87876</v>
          </cell>
          <cell r="L5">
            <v>8701.545549999999</v>
          </cell>
          <cell r="N5">
            <v>3177.2555</v>
          </cell>
        </row>
        <row r="6">
          <cell r="A6" t="str">
            <v>东北区经销商</v>
          </cell>
          <cell r="B6">
            <v>11711.041329999993</v>
          </cell>
          <cell r="C6">
            <v>16494.246159999977</v>
          </cell>
          <cell r="D6">
            <v>15016.961689999998</v>
          </cell>
          <cell r="E6">
            <v>31365.40557999996</v>
          </cell>
          <cell r="F6">
            <v>74587.65475999993</v>
          </cell>
          <cell r="G6">
            <v>17821.924499999986</v>
          </cell>
          <cell r="H6">
            <v>92409.57925999991</v>
          </cell>
          <cell r="I6">
            <v>19440.831789999982</v>
          </cell>
          <cell r="J6">
            <v>111850.4110499999</v>
          </cell>
          <cell r="K6">
            <v>21220.137129999974</v>
          </cell>
          <cell r="L6">
            <v>133070.54817999987</v>
          </cell>
          <cell r="N6">
            <v>28532.942879999988</v>
          </cell>
        </row>
        <row r="7">
          <cell r="A7" t="str">
            <v>华北一区经销商</v>
          </cell>
          <cell r="B7">
            <v>5676.98335999999</v>
          </cell>
          <cell r="C7">
            <v>8153.97821999999</v>
          </cell>
          <cell r="D7">
            <v>9278.08518999999</v>
          </cell>
          <cell r="E7">
            <v>16192.450749999973</v>
          </cell>
          <cell r="F7">
            <v>39301.497519999946</v>
          </cell>
          <cell r="G7">
            <v>7662.1328299999905</v>
          </cell>
          <cell r="H7">
            <v>46963.630349999934</v>
          </cell>
          <cell r="I7">
            <v>9280.065239999938</v>
          </cell>
          <cell r="J7">
            <v>56243.69558999987</v>
          </cell>
          <cell r="K7">
            <v>12382.420469999986</v>
          </cell>
          <cell r="L7">
            <v>68626.11605999985</v>
          </cell>
          <cell r="N7">
            <v>16874.543299999994</v>
          </cell>
        </row>
        <row r="8">
          <cell r="A8" t="str">
            <v>华北二区经销商</v>
          </cell>
          <cell r="B8">
            <v>5384.84632</v>
          </cell>
          <cell r="C8">
            <v>4812.287059999992</v>
          </cell>
          <cell r="D8">
            <v>4441.860829999993</v>
          </cell>
          <cell r="E8">
            <v>6609.912129999994</v>
          </cell>
          <cell r="F8">
            <v>21248.90633999998</v>
          </cell>
          <cell r="G8">
            <v>3370.9267400000003</v>
          </cell>
          <cell r="H8">
            <v>24619.83307999998</v>
          </cell>
          <cell r="I8">
            <v>5704.606129999993</v>
          </cell>
          <cell r="J8">
            <v>30324.43920999997</v>
          </cell>
          <cell r="K8">
            <v>8837.611129999994</v>
          </cell>
          <cell r="L8">
            <v>39162.050339999965</v>
          </cell>
          <cell r="N8">
            <v>10790.386139999975</v>
          </cell>
        </row>
        <row r="9">
          <cell r="A9" t="str">
            <v>华东区经销商</v>
          </cell>
          <cell r="B9">
            <v>57187.24755999995</v>
          </cell>
          <cell r="C9">
            <v>28801.58530999996</v>
          </cell>
          <cell r="D9">
            <v>28273.05221</v>
          </cell>
          <cell r="E9">
            <v>53014.46055999995</v>
          </cell>
          <cell r="F9">
            <v>167276.34563999987</v>
          </cell>
          <cell r="G9">
            <v>21659.96494999997</v>
          </cell>
          <cell r="H9">
            <v>188936.31058999983</v>
          </cell>
          <cell r="I9">
            <v>31039.31058999963</v>
          </cell>
          <cell r="J9">
            <v>219975.62117999946</v>
          </cell>
          <cell r="K9">
            <v>33803.003859999975</v>
          </cell>
          <cell r="L9">
            <v>253778.62503999943</v>
          </cell>
          <cell r="N9">
            <v>49786.73092999992</v>
          </cell>
        </row>
        <row r="10">
          <cell r="A10" t="str">
            <v>华南区经销商</v>
          </cell>
          <cell r="B10">
            <v>18923.81621</v>
          </cell>
          <cell r="C10">
            <v>6983.30502</v>
          </cell>
          <cell r="D10">
            <v>14686.58504</v>
          </cell>
          <cell r="E10">
            <v>18962.42993</v>
          </cell>
          <cell r="F10">
            <v>59556.1362</v>
          </cell>
          <cell r="G10">
            <v>12021.11724</v>
          </cell>
          <cell r="H10">
            <v>71577.25344</v>
          </cell>
          <cell r="I10">
            <v>30932.09343999988</v>
          </cell>
          <cell r="J10">
            <v>102509.34687999988</v>
          </cell>
          <cell r="K10">
            <v>13618.155709999988</v>
          </cell>
          <cell r="L10">
            <v>116127.50258999987</v>
          </cell>
          <cell r="N10">
            <v>19417.127699999965</v>
          </cell>
        </row>
        <row r="11">
          <cell r="A11" t="str">
            <v>华中区经销商</v>
          </cell>
          <cell r="B11">
            <v>11372.55315999998</v>
          </cell>
          <cell r="C11">
            <v>4255.43536</v>
          </cell>
          <cell r="D11">
            <v>15380.779099999974</v>
          </cell>
          <cell r="E11">
            <v>17950.22071999998</v>
          </cell>
          <cell r="F11">
            <v>48958.98833999994</v>
          </cell>
          <cell r="G11">
            <v>7163.1221299999925</v>
          </cell>
          <cell r="H11">
            <v>56122.11046999993</v>
          </cell>
          <cell r="I11">
            <v>10279.030039999896</v>
          </cell>
          <cell r="J11">
            <v>66401.14050999982</v>
          </cell>
          <cell r="K11">
            <v>12512.548509999973</v>
          </cell>
          <cell r="L11">
            <v>78913.6890199998</v>
          </cell>
          <cell r="N11">
            <v>15326.962209999961</v>
          </cell>
        </row>
        <row r="12">
          <cell r="A12" t="str">
            <v>专业装备</v>
          </cell>
          <cell r="B12">
            <v>204.2159</v>
          </cell>
          <cell r="C12">
            <v>238.14018000000002</v>
          </cell>
          <cell r="D12">
            <v>266.92992</v>
          </cell>
          <cell r="E12">
            <v>663.86002</v>
          </cell>
          <cell r="F12">
            <v>1373.1460200000001</v>
          </cell>
          <cell r="G12">
            <v>683.8484</v>
          </cell>
          <cell r="H12">
            <v>2056.99442</v>
          </cell>
          <cell r="I12">
            <v>801.7318099999998</v>
          </cell>
          <cell r="J12">
            <v>2858.7262299999998</v>
          </cell>
          <cell r="K12">
            <v>662.9914699999994</v>
          </cell>
          <cell r="L12">
            <v>3521.7176999999992</v>
          </cell>
          <cell r="N12">
            <v>1624.6146</v>
          </cell>
        </row>
        <row r="13">
          <cell r="A13" t="str">
            <v>西北区经销商</v>
          </cell>
          <cell r="B13">
            <v>4344.01081</v>
          </cell>
          <cell r="C13">
            <v>2309.65063</v>
          </cell>
          <cell r="D13">
            <v>1783.29288</v>
          </cell>
          <cell r="E13">
            <v>5883.197739999989</v>
          </cell>
          <cell r="F13">
            <v>14320.15205999999</v>
          </cell>
          <cell r="G13">
            <v>2245.91743</v>
          </cell>
          <cell r="H13">
            <v>16566.06948999999</v>
          </cell>
          <cell r="I13">
            <v>1520.2661100000005</v>
          </cell>
          <cell r="J13">
            <v>18086.33559999999</v>
          </cell>
          <cell r="K13">
            <v>2516.5551800000003</v>
          </cell>
          <cell r="L13">
            <v>20602.89077999999</v>
          </cell>
          <cell r="N13">
            <v>6180.818369999987</v>
          </cell>
        </row>
        <row r="14">
          <cell r="A14" t="str">
            <v>西南区经销商</v>
          </cell>
          <cell r="B14">
            <v>20300.96371999999</v>
          </cell>
          <cell r="C14">
            <v>12662.23729999999</v>
          </cell>
          <cell r="D14">
            <v>18354.031269999956</v>
          </cell>
          <cell r="E14">
            <v>21139.90976</v>
          </cell>
          <cell r="F14">
            <v>72457.14204999994</v>
          </cell>
          <cell r="G14">
            <v>9584.54965999999</v>
          </cell>
          <cell r="H14">
            <v>82041.69170999993</v>
          </cell>
          <cell r="I14">
            <v>5416.478969999924</v>
          </cell>
          <cell r="J14">
            <v>87458.17067999985</v>
          </cell>
          <cell r="K14">
            <v>19571.557059999977</v>
          </cell>
          <cell r="L14">
            <v>107029.72773999983</v>
          </cell>
          <cell r="N14">
            <v>25872.828069999952</v>
          </cell>
        </row>
        <row r="15">
          <cell r="A15" t="str">
            <v>沈阳一动</v>
          </cell>
          <cell r="B15">
            <v>1757.0971200000001</v>
          </cell>
          <cell r="C15">
            <v>2825.5948799999996</v>
          </cell>
          <cell r="D15">
            <v>2383.20534</v>
          </cell>
          <cell r="E15">
            <v>3860.4743</v>
          </cell>
          <cell r="F15">
            <v>10826.37164</v>
          </cell>
          <cell r="G15">
            <v>5124.39492</v>
          </cell>
          <cell r="H15">
            <v>15950.76656</v>
          </cell>
          <cell r="I15">
            <v>5563.24841</v>
          </cell>
          <cell r="J15">
            <v>21514.01497</v>
          </cell>
          <cell r="K15">
            <v>3363.43283</v>
          </cell>
          <cell r="L15">
            <v>24870.351570000003</v>
          </cell>
          <cell r="M15">
            <v>7.096229999999999</v>
          </cell>
          <cell r="N15">
            <v>5036.66</v>
          </cell>
        </row>
        <row r="16">
          <cell r="A16" t="str">
            <v>石家庄一动</v>
          </cell>
          <cell r="B16">
            <v>1302.40115</v>
          </cell>
          <cell r="C16">
            <v>1737.5551200000002</v>
          </cell>
          <cell r="D16">
            <v>2366.50906</v>
          </cell>
          <cell r="E16">
            <v>2327.56116</v>
          </cell>
          <cell r="F16">
            <v>7734.02649</v>
          </cell>
          <cell r="G16">
            <v>2310.93705</v>
          </cell>
          <cell r="H16">
            <v>10044.96354</v>
          </cell>
          <cell r="I16">
            <v>2049.94286</v>
          </cell>
          <cell r="J16">
            <v>12094.9064</v>
          </cell>
          <cell r="K16">
            <v>1160.38079</v>
          </cell>
          <cell r="L16">
            <v>13129.783119999998</v>
          </cell>
          <cell r="M16">
            <v>125.50407000000001</v>
          </cell>
          <cell r="N16">
            <v>2083.3500000000004</v>
          </cell>
        </row>
        <row r="17">
          <cell r="A17" t="str">
            <v>郑州一动</v>
          </cell>
          <cell r="B17">
            <v>1889.37815</v>
          </cell>
          <cell r="C17">
            <v>1745.19385</v>
          </cell>
          <cell r="D17">
            <v>1998.2618400000001</v>
          </cell>
          <cell r="E17">
            <v>3153.7328700000003</v>
          </cell>
          <cell r="F17">
            <v>8786.566710000001</v>
          </cell>
          <cell r="G17">
            <v>2406.49309</v>
          </cell>
          <cell r="H17">
            <v>11193.0598</v>
          </cell>
          <cell r="I17">
            <v>1771.82819</v>
          </cell>
          <cell r="J17">
            <v>12964.887990000001</v>
          </cell>
          <cell r="K17">
            <v>1746.50714</v>
          </cell>
          <cell r="L17">
            <v>14584.92382</v>
          </cell>
          <cell r="M17">
            <v>126.47131</v>
          </cell>
          <cell r="N17">
            <v>2468.59</v>
          </cell>
        </row>
        <row r="18">
          <cell r="A18" t="str">
            <v>济南一动</v>
          </cell>
          <cell r="B18">
            <v>3800.2129</v>
          </cell>
          <cell r="C18">
            <v>2927.6899399999998</v>
          </cell>
          <cell r="D18">
            <v>3304.39921</v>
          </cell>
          <cell r="E18">
            <v>3700.52085</v>
          </cell>
          <cell r="F18">
            <v>13732.8229</v>
          </cell>
          <cell r="G18">
            <v>4070.6108799999997</v>
          </cell>
          <cell r="H18">
            <v>17803.43378</v>
          </cell>
          <cell r="I18">
            <v>3501.50717</v>
          </cell>
          <cell r="J18">
            <v>21304.94095</v>
          </cell>
          <cell r="K18">
            <v>2371.89127</v>
          </cell>
          <cell r="L18">
            <v>23676.83222</v>
          </cell>
          <cell r="M18">
            <v>0</v>
          </cell>
          <cell r="N18">
            <v>3825.4700000000003</v>
          </cell>
        </row>
        <row r="19">
          <cell r="A19" t="str">
            <v>天津一动</v>
          </cell>
          <cell r="B19">
            <v>7345.08375</v>
          </cell>
          <cell r="C19">
            <v>4185.447250000001</v>
          </cell>
          <cell r="D19">
            <v>5130.5474699999995</v>
          </cell>
          <cell r="E19">
            <v>5378.7602400000005</v>
          </cell>
          <cell r="F19">
            <v>22039.83871</v>
          </cell>
          <cell r="G19">
            <v>5468.61862</v>
          </cell>
          <cell r="H19">
            <v>27508.45733</v>
          </cell>
          <cell r="I19">
            <v>5208.13825</v>
          </cell>
          <cell r="J19">
            <v>32716.59558</v>
          </cell>
          <cell r="K19">
            <v>3916.30775</v>
          </cell>
          <cell r="L19">
            <v>35931.14474</v>
          </cell>
          <cell r="M19">
            <v>701.7585899999999</v>
          </cell>
          <cell r="N19">
            <v>6080</v>
          </cell>
        </row>
        <row r="20">
          <cell r="A20" t="str">
            <v>南京一动</v>
          </cell>
          <cell r="B20">
            <v>2939.52506</v>
          </cell>
          <cell r="C20">
            <v>3438.28805</v>
          </cell>
          <cell r="D20">
            <v>2464.26815</v>
          </cell>
          <cell r="E20">
            <v>4151.884</v>
          </cell>
          <cell r="F20">
            <v>12993.965259999999</v>
          </cell>
          <cell r="G20">
            <v>3365.84133</v>
          </cell>
          <cell r="H20">
            <v>16359.80659</v>
          </cell>
          <cell r="I20">
            <v>2303.18991</v>
          </cell>
          <cell r="J20">
            <v>18662.9965</v>
          </cell>
          <cell r="K20">
            <v>1638.33375</v>
          </cell>
          <cell r="L20">
            <v>20299.86444</v>
          </cell>
          <cell r="M20">
            <v>1.4658099999999998</v>
          </cell>
          <cell r="N20">
            <v>2640.8</v>
          </cell>
        </row>
        <row r="21">
          <cell r="A21" t="str">
            <v>杭州一动</v>
          </cell>
          <cell r="B21">
            <v>3519.51273</v>
          </cell>
          <cell r="C21">
            <v>4615.746710000001</v>
          </cell>
          <cell r="D21">
            <v>2515.5709300000003</v>
          </cell>
          <cell r="E21">
            <v>4062.24431</v>
          </cell>
          <cell r="F21">
            <v>14713.074680000002</v>
          </cell>
          <cell r="G21">
            <v>3349.62331</v>
          </cell>
          <cell r="H21">
            <v>18062.69799</v>
          </cell>
          <cell r="I21">
            <v>2576.88362</v>
          </cell>
          <cell r="J21">
            <v>20639.58161</v>
          </cell>
          <cell r="K21">
            <v>2389.26598</v>
          </cell>
          <cell r="L21">
            <v>23028.84759</v>
          </cell>
          <cell r="M21">
            <v>0</v>
          </cell>
          <cell r="N21">
            <v>3049.8599999999997</v>
          </cell>
        </row>
        <row r="22">
          <cell r="A22" t="str">
            <v>广州一动</v>
          </cell>
          <cell r="B22">
            <v>3394.38492</v>
          </cell>
          <cell r="C22">
            <v>4037.6279900000004</v>
          </cell>
          <cell r="D22">
            <v>2637.04744</v>
          </cell>
          <cell r="E22">
            <v>3532.30306</v>
          </cell>
          <cell r="F22">
            <v>13601.36341</v>
          </cell>
          <cell r="G22">
            <v>3856.82032</v>
          </cell>
          <cell r="H22">
            <v>17458.18373</v>
          </cell>
          <cell r="I22">
            <v>2737.71085</v>
          </cell>
          <cell r="J22">
            <v>20195.89458</v>
          </cell>
          <cell r="K22">
            <v>2784.61767</v>
          </cell>
          <cell r="L22">
            <v>22889.093539999998</v>
          </cell>
          <cell r="M22">
            <v>91.41870999999999</v>
          </cell>
          <cell r="N22">
            <v>3539.2400000000002</v>
          </cell>
        </row>
        <row r="23">
          <cell r="A23" t="str">
            <v>南宁一动</v>
          </cell>
          <cell r="B23">
            <v>4027.55109</v>
          </cell>
          <cell r="C23">
            <v>3699.7077</v>
          </cell>
          <cell r="D23">
            <v>2787.45039</v>
          </cell>
          <cell r="E23">
            <v>2977.60618</v>
          </cell>
          <cell r="F23">
            <v>13492.31536</v>
          </cell>
          <cell r="G23">
            <v>4169.19721</v>
          </cell>
          <cell r="H23">
            <v>17661.51257</v>
          </cell>
          <cell r="I23">
            <v>3854.15344</v>
          </cell>
          <cell r="J23">
            <v>21515.66601</v>
          </cell>
          <cell r="K23">
            <v>2467.4253799999997</v>
          </cell>
          <cell r="L23">
            <v>23126.595510000003</v>
          </cell>
          <cell r="M23">
            <v>856.4958800000002</v>
          </cell>
          <cell r="N23">
            <v>3371.972185</v>
          </cell>
        </row>
        <row r="24">
          <cell r="A24" t="str">
            <v>武汉一动</v>
          </cell>
          <cell r="B24">
            <v>6892.78617</v>
          </cell>
          <cell r="C24">
            <v>8715.504990000001</v>
          </cell>
          <cell r="D24">
            <v>5204.53425</v>
          </cell>
          <cell r="E24">
            <v>6900.686320000001</v>
          </cell>
          <cell r="F24">
            <v>27713.511730000002</v>
          </cell>
          <cell r="G24">
            <v>7014.15265</v>
          </cell>
          <cell r="H24">
            <v>34727.66438</v>
          </cell>
          <cell r="I24">
            <v>6125.36865</v>
          </cell>
          <cell r="J24">
            <v>40853.033030000006</v>
          </cell>
          <cell r="K24">
            <v>4615.68075</v>
          </cell>
          <cell r="L24">
            <v>45354.15651000001</v>
          </cell>
          <cell r="M24">
            <v>114.55726999999999</v>
          </cell>
          <cell r="N24">
            <v>6387.385231538462</v>
          </cell>
        </row>
        <row r="25">
          <cell r="A25" t="str">
            <v>长沙一动</v>
          </cell>
          <cell r="B25">
            <v>2577.81934</v>
          </cell>
          <cell r="C25">
            <v>4168.6031</v>
          </cell>
          <cell r="D25">
            <v>3503.9673599999996</v>
          </cell>
          <cell r="E25">
            <v>4390.25586</v>
          </cell>
          <cell r="F25">
            <v>14640.645660000002</v>
          </cell>
          <cell r="G25">
            <v>4730.5659000000005</v>
          </cell>
          <cell r="H25">
            <v>19371.211560000003</v>
          </cell>
          <cell r="I25">
            <v>4355.57605</v>
          </cell>
          <cell r="J25">
            <v>23726.787610000003</v>
          </cell>
          <cell r="K25">
            <v>3012.22047</v>
          </cell>
          <cell r="L25">
            <v>26703.301690000004</v>
          </cell>
          <cell r="M25">
            <v>35.70639</v>
          </cell>
          <cell r="N25">
            <v>5540.299999999999</v>
          </cell>
        </row>
        <row r="26">
          <cell r="A26" t="str">
            <v>北京一动</v>
          </cell>
          <cell r="B26">
            <v>7461.085099999999</v>
          </cell>
          <cell r="C26">
            <v>8553.20493</v>
          </cell>
          <cell r="D26">
            <v>9500.24292</v>
          </cell>
          <cell r="E26">
            <v>8179.12122</v>
          </cell>
          <cell r="F26">
            <v>33693.65417</v>
          </cell>
          <cell r="G26">
            <v>9726.330880000001</v>
          </cell>
          <cell r="H26">
            <v>43419.98505</v>
          </cell>
          <cell r="I26">
            <v>7848.445900000002</v>
          </cell>
          <cell r="J26">
            <v>51268.43095000001</v>
          </cell>
          <cell r="K26">
            <v>5140.575059999999</v>
          </cell>
          <cell r="L26">
            <v>55436.45474000001</v>
          </cell>
          <cell r="M26">
            <v>972.5512700000002</v>
          </cell>
          <cell r="N26">
            <v>8771.319</v>
          </cell>
        </row>
        <row r="27">
          <cell r="A27" t="str">
            <v>上海一动</v>
          </cell>
          <cell r="B27">
            <v>2270.04642</v>
          </cell>
          <cell r="C27">
            <v>2639.94345</v>
          </cell>
          <cell r="D27">
            <v>2280.60223</v>
          </cell>
          <cell r="E27">
            <v>2524.0826899999997</v>
          </cell>
          <cell r="F27">
            <v>9714.67479</v>
          </cell>
          <cell r="G27">
            <v>2472.16968</v>
          </cell>
          <cell r="H27">
            <v>12186.84447</v>
          </cell>
          <cell r="I27">
            <v>2385.8758700000003</v>
          </cell>
          <cell r="J27">
            <v>14572.72034</v>
          </cell>
          <cell r="K27">
            <v>2240.67913</v>
          </cell>
          <cell r="L27">
            <v>16770.17541</v>
          </cell>
          <cell r="M27">
            <v>43.224059999999994</v>
          </cell>
          <cell r="N27">
            <v>3071.06435</v>
          </cell>
        </row>
        <row r="28">
          <cell r="A28" t="str">
            <v>国际部</v>
          </cell>
          <cell r="B28">
            <v>796.90197</v>
          </cell>
          <cell r="C28">
            <v>17.72242</v>
          </cell>
          <cell r="D28">
            <v>690.66565</v>
          </cell>
          <cell r="E28">
            <v>5450.702689999997</v>
          </cell>
          <cell r="F28">
            <v>6955.992729999997</v>
          </cell>
          <cell r="G28">
            <v>3599.5240699999895</v>
          </cell>
          <cell r="H28">
            <v>10555.516799999987</v>
          </cell>
          <cell r="I28">
            <v>3816.5534900000093</v>
          </cell>
          <cell r="J28">
            <v>14372.070289999996</v>
          </cell>
          <cell r="K28">
            <v>1105.5786799999998</v>
          </cell>
          <cell r="L28">
            <v>15477.648969999997</v>
          </cell>
          <cell r="N28">
            <v>2218.92218</v>
          </cell>
        </row>
        <row r="29">
          <cell r="A29" t="str">
            <v>零售业务部百丽</v>
          </cell>
          <cell r="B29">
            <v>151.38457</v>
          </cell>
          <cell r="C29">
            <v>1.10769</v>
          </cell>
          <cell r="D29">
            <v>545.45222</v>
          </cell>
          <cell r="E29">
            <v>0</v>
          </cell>
          <cell r="F29">
            <v>697.94448</v>
          </cell>
          <cell r="G29">
            <v>0</v>
          </cell>
          <cell r="H29">
            <v>697.94448</v>
          </cell>
          <cell r="I29">
            <v>0</v>
          </cell>
          <cell r="J29">
            <v>697.94448</v>
          </cell>
          <cell r="K29">
            <v>0</v>
          </cell>
          <cell r="L29">
            <v>697.94448</v>
          </cell>
        </row>
        <row r="30">
          <cell r="A30" t="str">
            <v>其他</v>
          </cell>
          <cell r="B30">
            <v>170.71897</v>
          </cell>
          <cell r="C30">
            <v>26.104779999999998</v>
          </cell>
          <cell r="D30">
            <v>382.03671</v>
          </cell>
          <cell r="E30">
            <v>907.9363099999994</v>
          </cell>
          <cell r="F30">
            <v>1486.7967699999995</v>
          </cell>
          <cell r="G30">
            <v>602.7713399999986</v>
          </cell>
          <cell r="H30">
            <v>2089.5681099999983</v>
          </cell>
          <cell r="I30">
            <v>412.82258</v>
          </cell>
          <cell r="J30">
            <v>2502.3906899999984</v>
          </cell>
          <cell r="K30">
            <v>1168.09694</v>
          </cell>
          <cell r="L30">
            <v>3670.4876299999983</v>
          </cell>
          <cell r="N30">
            <v>1018.35322</v>
          </cell>
        </row>
        <row r="31">
          <cell r="A31" t="str">
            <v>广体零售</v>
          </cell>
          <cell r="B31">
            <v>2487.79969000019</v>
          </cell>
          <cell r="C31">
            <v>1181.8</v>
          </cell>
          <cell r="D31">
            <v>1286</v>
          </cell>
          <cell r="E31">
            <v>1231.083</v>
          </cell>
          <cell r="F31">
            <v>6186.682690000191</v>
          </cell>
          <cell r="G31">
            <v>1328.35812</v>
          </cell>
          <cell r="H31">
            <v>7515.0408100001905</v>
          </cell>
          <cell r="I31">
            <v>1811</v>
          </cell>
          <cell r="J31">
            <v>9326.040810000191</v>
          </cell>
          <cell r="K31">
            <v>2022.871</v>
          </cell>
          <cell r="L31">
            <v>11348.91181000019</v>
          </cell>
        </row>
        <row r="32">
          <cell r="L32">
            <v>0</v>
          </cell>
        </row>
        <row r="33">
          <cell r="A33" t="str">
            <v>(-北体对广体发货)</v>
          </cell>
          <cell r="B33">
            <v>684</v>
          </cell>
          <cell r="C33">
            <v>713.4</v>
          </cell>
          <cell r="D33">
            <v>1053.19108999992</v>
          </cell>
          <cell r="E33">
            <v>1535.82019</v>
          </cell>
          <cell r="F33">
            <v>3986.4112799999198</v>
          </cell>
          <cell r="G33">
            <v>1812.83259</v>
          </cell>
          <cell r="H33">
            <v>5799.24386999992</v>
          </cell>
          <cell r="I33">
            <v>1445</v>
          </cell>
          <cell r="J33">
            <v>7244.24386999992</v>
          </cell>
          <cell r="K33">
            <v>1056.4082299999989</v>
          </cell>
          <cell r="L33">
            <v>8300.65209999992</v>
          </cell>
          <cell r="N33">
            <v>1314.129509999999</v>
          </cell>
        </row>
      </sheetData>
      <sheetData sheetId="2">
        <row r="4">
          <cell r="A4" t="str">
            <v>大区</v>
          </cell>
          <cell r="B4" t="str">
            <v>求和项:Jan</v>
          </cell>
          <cell r="C4" t="str">
            <v>求和项:Feb</v>
          </cell>
          <cell r="D4" t="str">
            <v>求和项:Mar</v>
          </cell>
          <cell r="E4" t="str">
            <v>求和项:Apr</v>
          </cell>
          <cell r="F4" t="str">
            <v>subtotal(1-4)</v>
          </cell>
          <cell r="G4" t="str">
            <v>求和项:May</v>
          </cell>
          <cell r="H4" t="str">
            <v>subtotal(1-5)</v>
          </cell>
          <cell r="I4" t="str">
            <v>求和项:Jun</v>
          </cell>
          <cell r="J4" t="str">
            <v>subtotal(1-6)</v>
          </cell>
          <cell r="K4" t="str">
            <v>求和项:Jul</v>
          </cell>
          <cell r="L4" t="str">
            <v>subtotal(1-7)</v>
          </cell>
          <cell r="M4" t="str">
            <v>求和项:Aug</v>
          </cell>
          <cell r="N4" t="str">
            <v>subtotal(1-8)</v>
          </cell>
        </row>
        <row r="5">
          <cell r="A5" t="str">
            <v>大卖厂</v>
          </cell>
          <cell r="B5">
            <v>675.643579999999</v>
          </cell>
          <cell r="C5">
            <v>370.932949999998</v>
          </cell>
          <cell r="D5">
            <v>433.19143999999903</v>
          </cell>
          <cell r="E5">
            <v>353.85866</v>
          </cell>
          <cell r="F5">
            <v>1833.626629999996</v>
          </cell>
          <cell r="G5">
            <v>552.64466</v>
          </cell>
          <cell r="H5">
            <v>2386.271289999996</v>
          </cell>
          <cell r="I5">
            <v>250.01605999999873</v>
          </cell>
          <cell r="J5">
            <v>2636.2873499999946</v>
          </cell>
          <cell r="K5">
            <v>655.2120199999983</v>
          </cell>
          <cell r="L5">
            <v>3291.499369999993</v>
          </cell>
          <cell r="M5">
            <v>1545.6099299999998</v>
          </cell>
          <cell r="N5">
            <v>4837.109299999993</v>
          </cell>
        </row>
        <row r="6">
          <cell r="A6" t="str">
            <v>东北区经销商</v>
          </cell>
          <cell r="B6">
            <v>11389.87710999999</v>
          </cell>
          <cell r="C6">
            <v>17744.13249</v>
          </cell>
          <cell r="D6">
            <v>14848.009199999977</v>
          </cell>
          <cell r="E6">
            <v>15855.130899999984</v>
          </cell>
          <cell r="F6">
            <v>59837.14969999995</v>
          </cell>
          <cell r="G6">
            <v>9273.670009999985</v>
          </cell>
          <cell r="H6">
            <v>69110.81970999994</v>
          </cell>
          <cell r="I6">
            <v>18066.068359999976</v>
          </cell>
          <cell r="J6">
            <v>87176.88806999991</v>
          </cell>
          <cell r="K6">
            <v>18797.17549999998</v>
          </cell>
          <cell r="L6">
            <v>105974.0635699999</v>
          </cell>
          <cell r="M6">
            <v>26632.07060999995</v>
          </cell>
          <cell r="N6">
            <v>132606.13417999985</v>
          </cell>
        </row>
        <row r="7">
          <cell r="A7" t="str">
            <v>华北一区经销商</v>
          </cell>
          <cell r="B7">
            <v>5214.91105</v>
          </cell>
          <cell r="C7">
            <v>5127.84426</v>
          </cell>
          <cell r="D7">
            <v>5812.295379999994</v>
          </cell>
          <cell r="E7">
            <v>5819.864999999996</v>
          </cell>
          <cell r="F7">
            <v>21974.91568999999</v>
          </cell>
          <cell r="G7">
            <v>2049.13857</v>
          </cell>
          <cell r="H7">
            <v>24024.05425999999</v>
          </cell>
          <cell r="I7">
            <v>11078.295429999971</v>
          </cell>
          <cell r="J7">
            <v>35102.34968999996</v>
          </cell>
          <cell r="K7">
            <v>6794.792699999983</v>
          </cell>
          <cell r="L7">
            <v>41897.14238999994</v>
          </cell>
          <cell r="M7">
            <v>9418.699809999991</v>
          </cell>
          <cell r="N7">
            <v>51315.842199999934</v>
          </cell>
        </row>
        <row r="8">
          <cell r="A8" t="str">
            <v>华北二区经销商</v>
          </cell>
          <cell r="B8">
            <v>3817.05838</v>
          </cell>
          <cell r="C8">
            <v>3903.3167799999856</v>
          </cell>
          <cell r="D8">
            <v>3910.10581999999</v>
          </cell>
          <cell r="E8">
            <v>6084.319039999991</v>
          </cell>
          <cell r="F8">
            <v>17714.800019999966</v>
          </cell>
          <cell r="G8">
            <v>2719.04355</v>
          </cell>
          <cell r="H8">
            <v>20433.843569999965</v>
          </cell>
          <cell r="I8">
            <v>2456.50013</v>
          </cell>
          <cell r="J8">
            <v>22890.343699999965</v>
          </cell>
          <cell r="K8">
            <v>2833.23719</v>
          </cell>
          <cell r="L8">
            <v>25723.580889999965</v>
          </cell>
          <cell r="M8">
            <v>3365.04546</v>
          </cell>
          <cell r="N8">
            <v>29088.626349999966</v>
          </cell>
        </row>
        <row r="9">
          <cell r="A9" t="str">
            <v>华东区经销商</v>
          </cell>
          <cell r="B9">
            <v>29713.99855999996</v>
          </cell>
          <cell r="C9">
            <v>25267.745539999945</v>
          </cell>
          <cell r="D9">
            <v>23071.372149999977</v>
          </cell>
          <cell r="E9">
            <v>28271.77322999995</v>
          </cell>
          <cell r="F9">
            <v>106324.88947999984</v>
          </cell>
          <cell r="G9">
            <v>9114.362869999994</v>
          </cell>
          <cell r="H9">
            <v>115439.25234999984</v>
          </cell>
          <cell r="I9">
            <v>32394.346009999943</v>
          </cell>
          <cell r="J9">
            <v>147833.59835999977</v>
          </cell>
          <cell r="K9">
            <v>19406.98970999998</v>
          </cell>
          <cell r="L9">
            <v>167240.58806999977</v>
          </cell>
          <cell r="M9">
            <v>38919.99287999996</v>
          </cell>
          <cell r="N9">
            <v>206160.58094999974</v>
          </cell>
        </row>
        <row r="10">
          <cell r="A10" t="str">
            <v>华南区经销商</v>
          </cell>
          <cell r="B10">
            <v>11127.276189999988</v>
          </cell>
          <cell r="C10">
            <v>11493.937399999973</v>
          </cell>
          <cell r="D10">
            <v>10869.84728999999</v>
          </cell>
          <cell r="E10">
            <v>8474.578569999989</v>
          </cell>
          <cell r="F10">
            <v>41965.639449999944</v>
          </cell>
          <cell r="G10">
            <v>7120.509879999978</v>
          </cell>
          <cell r="H10">
            <v>49086.14932999992</v>
          </cell>
          <cell r="I10">
            <v>11001.287239999981</v>
          </cell>
          <cell r="J10">
            <v>60087.4365699999</v>
          </cell>
          <cell r="K10">
            <v>8039.1506099999915</v>
          </cell>
          <cell r="L10">
            <v>68126.5871799999</v>
          </cell>
          <cell r="M10">
            <v>9520.743450000002</v>
          </cell>
          <cell r="N10">
            <v>77647.3306299999</v>
          </cell>
        </row>
        <row r="11">
          <cell r="A11" t="str">
            <v>华中区经销商</v>
          </cell>
          <cell r="B11">
            <v>9240.06021999999</v>
          </cell>
          <cell r="C11">
            <v>9004.273649999996</v>
          </cell>
          <cell r="D11">
            <v>6298.103089999978</v>
          </cell>
          <cell r="E11">
            <v>9341.199449999986</v>
          </cell>
          <cell r="F11">
            <v>33883.63640999995</v>
          </cell>
          <cell r="G11">
            <v>3039.19461</v>
          </cell>
          <cell r="H11">
            <v>36922.83101999995</v>
          </cell>
          <cell r="I11">
            <v>9503.564679999983</v>
          </cell>
          <cell r="J11">
            <v>46426.39569999993</v>
          </cell>
          <cell r="K11">
            <v>7375.154399999992</v>
          </cell>
          <cell r="L11">
            <v>53801.55009999992</v>
          </cell>
          <cell r="M11">
            <v>10105.243239999973</v>
          </cell>
          <cell r="N11">
            <v>63906.793339999895</v>
          </cell>
        </row>
        <row r="12">
          <cell r="A12" t="str">
            <v>专业装备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西北区经销商</v>
          </cell>
          <cell r="B13">
            <v>3818.32279</v>
          </cell>
          <cell r="C13">
            <v>3713.779</v>
          </cell>
          <cell r="D13">
            <v>3652.2121799999877</v>
          </cell>
          <cell r="E13">
            <v>5110.578329999987</v>
          </cell>
          <cell r="F13">
            <v>16294.892299999974</v>
          </cell>
          <cell r="G13">
            <v>1386.21532</v>
          </cell>
          <cell r="H13">
            <v>17681.107619999973</v>
          </cell>
          <cell r="I13">
            <v>5493.578119999999</v>
          </cell>
          <cell r="J13">
            <v>23174.68573999997</v>
          </cell>
          <cell r="K13">
            <v>3130.86774</v>
          </cell>
          <cell r="L13">
            <v>26305.553479999973</v>
          </cell>
          <cell r="M13">
            <v>4131.74741</v>
          </cell>
          <cell r="N13">
            <v>30437.300889999973</v>
          </cell>
        </row>
        <row r="14">
          <cell r="A14" t="str">
            <v>西南区经销商</v>
          </cell>
          <cell r="B14">
            <v>15250.798389999978</v>
          </cell>
          <cell r="C14">
            <v>12377.065979999998</v>
          </cell>
          <cell r="D14">
            <v>11945.90114999999</v>
          </cell>
          <cell r="E14">
            <v>7672.237639999986</v>
          </cell>
          <cell r="F14">
            <v>47246.00315999995</v>
          </cell>
          <cell r="G14">
            <v>1779.2114</v>
          </cell>
          <cell r="H14">
            <v>49025.21455999995</v>
          </cell>
          <cell r="I14">
            <v>18496.607309999974</v>
          </cell>
          <cell r="J14">
            <v>67521.82186999993</v>
          </cell>
          <cell r="K14">
            <v>9256.699929999988</v>
          </cell>
          <cell r="L14">
            <v>76778.52179999991</v>
          </cell>
          <cell r="M14">
            <v>18470.43456999996</v>
          </cell>
          <cell r="N14">
            <v>95248.95636999988</v>
          </cell>
        </row>
        <row r="15">
          <cell r="A15" t="str">
            <v>沈阳一动</v>
          </cell>
          <cell r="B15">
            <v>2193.9554900000003</v>
          </cell>
          <cell r="C15">
            <v>2446.9444299999996</v>
          </cell>
          <cell r="D15">
            <v>2560.10962</v>
          </cell>
          <cell r="E15">
            <v>4260.3394</v>
          </cell>
          <cell r="F15">
            <v>11461.34894</v>
          </cell>
          <cell r="G15">
            <v>3778.9520699999994</v>
          </cell>
          <cell r="H15">
            <v>15240.30101</v>
          </cell>
          <cell r="I15">
            <v>4012.5213699999986</v>
          </cell>
          <cell r="J15">
            <v>19252.822379999998</v>
          </cell>
          <cell r="K15">
            <v>2880.1568399999996</v>
          </cell>
          <cell r="L15">
            <v>22132.979219999997</v>
          </cell>
          <cell r="M15">
            <v>4042.1890200000016</v>
          </cell>
          <cell r="N15">
            <v>26175.16824</v>
          </cell>
        </row>
        <row r="16">
          <cell r="A16" t="str">
            <v>石家庄一动</v>
          </cell>
          <cell r="B16">
            <v>1723.4521499999998</v>
          </cell>
          <cell r="C16">
            <v>1265.6034300000003</v>
          </cell>
          <cell r="D16">
            <v>1305.2153799999996</v>
          </cell>
          <cell r="E16">
            <v>1423.19614</v>
          </cell>
          <cell r="F16">
            <v>5717.4671</v>
          </cell>
          <cell r="G16">
            <v>1605.9357300000001</v>
          </cell>
          <cell r="H16">
            <v>7323.40283</v>
          </cell>
          <cell r="I16">
            <v>1706.3585199999989</v>
          </cell>
          <cell r="J16">
            <v>9029.761349999999</v>
          </cell>
          <cell r="K16">
            <v>1537.811240000001</v>
          </cell>
          <cell r="L16">
            <v>10567.57259</v>
          </cell>
          <cell r="M16">
            <v>2352.0622300000014</v>
          </cell>
          <cell r="N16">
            <v>12919.634820000001</v>
          </cell>
        </row>
        <row r="17">
          <cell r="A17" t="str">
            <v>郑州一动</v>
          </cell>
          <cell r="B17">
            <v>1071.96419</v>
          </cell>
          <cell r="C17">
            <v>993.2615200000002</v>
          </cell>
          <cell r="D17">
            <v>1098.2608999999998</v>
          </cell>
          <cell r="E17">
            <v>1751.8280400000008</v>
          </cell>
          <cell r="F17">
            <v>4915.31465</v>
          </cell>
          <cell r="G17">
            <v>1512.7213300000003</v>
          </cell>
          <cell r="H17">
            <v>6428.035980000001</v>
          </cell>
          <cell r="I17">
            <v>1600.6361199999992</v>
          </cell>
          <cell r="J17">
            <v>8028.6721</v>
          </cell>
          <cell r="K17">
            <v>1251.3849500000015</v>
          </cell>
          <cell r="L17">
            <v>9280.057050000001</v>
          </cell>
          <cell r="M17">
            <v>2203.5424799999982</v>
          </cell>
          <cell r="N17">
            <v>11483.59953</v>
          </cell>
        </row>
        <row r="18">
          <cell r="A18" t="str">
            <v>济南一动</v>
          </cell>
          <cell r="B18">
            <v>1402.8953700000002</v>
          </cell>
          <cell r="C18">
            <v>2100.4714299999996</v>
          </cell>
          <cell r="D18">
            <v>1342.7614400000002</v>
          </cell>
          <cell r="E18">
            <v>2196.4892099999997</v>
          </cell>
          <cell r="F18">
            <v>7042.61745</v>
          </cell>
          <cell r="G18">
            <v>1459.2322399999994</v>
          </cell>
          <cell r="H18">
            <v>8501.84969</v>
          </cell>
          <cell r="I18">
            <v>1903.4858299999996</v>
          </cell>
          <cell r="J18">
            <v>10405.335519999999</v>
          </cell>
          <cell r="K18">
            <v>1662.8279300000013</v>
          </cell>
          <cell r="L18">
            <v>12068.16345</v>
          </cell>
          <cell r="M18">
            <v>3424.547089999998</v>
          </cell>
          <cell r="N18">
            <v>15492.710539999998</v>
          </cell>
        </row>
        <row r="19">
          <cell r="A19" t="str">
            <v>天津一动</v>
          </cell>
          <cell r="B19">
            <v>5630.0301</v>
          </cell>
          <cell r="C19">
            <v>2370.6199300000007</v>
          </cell>
          <cell r="D19">
            <v>4083.23336</v>
          </cell>
          <cell r="E19">
            <v>5374.67706</v>
          </cell>
          <cell r="F19">
            <v>17458.56045</v>
          </cell>
          <cell r="G19">
            <v>3565.136269999999</v>
          </cell>
          <cell r="H19">
            <v>21023.69672</v>
          </cell>
          <cell r="I19">
            <v>5536.98056</v>
          </cell>
          <cell r="J19">
            <v>26560.67728</v>
          </cell>
          <cell r="K19">
            <v>3972.934170000004</v>
          </cell>
          <cell r="L19">
            <v>30533.611450000004</v>
          </cell>
          <cell r="M19">
            <v>6386.654839999996</v>
          </cell>
          <cell r="N19">
            <v>36920.26629</v>
          </cell>
        </row>
        <row r="20">
          <cell r="A20" t="str">
            <v>南京一动</v>
          </cell>
          <cell r="B20">
            <v>1766.5063799999998</v>
          </cell>
          <cell r="C20">
            <v>1678.3251300000002</v>
          </cell>
          <cell r="D20">
            <v>1397.9421299999995</v>
          </cell>
          <cell r="E20">
            <v>3345.291650000001</v>
          </cell>
          <cell r="F20">
            <v>8188.0652900000005</v>
          </cell>
          <cell r="G20">
            <v>1974.593499999999</v>
          </cell>
          <cell r="H20">
            <v>10162.65879</v>
          </cell>
          <cell r="I20">
            <v>2296.8665600000004</v>
          </cell>
          <cell r="J20">
            <v>12459.52535</v>
          </cell>
          <cell r="K20">
            <v>1353.3673599999984</v>
          </cell>
          <cell r="L20">
            <v>13812.892709999998</v>
          </cell>
          <cell r="M20">
            <v>2486.231090000003</v>
          </cell>
          <cell r="N20">
            <v>16299.123800000001</v>
          </cell>
        </row>
        <row r="21">
          <cell r="A21" t="str">
            <v>杭州一动</v>
          </cell>
          <cell r="B21">
            <v>5650.21642</v>
          </cell>
          <cell r="C21">
            <v>3771.9500099999996</v>
          </cell>
          <cell r="D21">
            <v>2238.5865600000016</v>
          </cell>
          <cell r="E21">
            <v>3689.198379999997</v>
          </cell>
          <cell r="F21">
            <v>15349.951369999999</v>
          </cell>
          <cell r="G21">
            <v>3231.953020000001</v>
          </cell>
          <cell r="H21">
            <v>18581.90439</v>
          </cell>
          <cell r="I21">
            <v>1649.712059999998</v>
          </cell>
          <cell r="J21">
            <v>20231.616449999998</v>
          </cell>
          <cell r="K21">
            <v>1937.9462500000009</v>
          </cell>
          <cell r="L21">
            <v>22169.5627</v>
          </cell>
          <cell r="M21">
            <v>2420.6308900000004</v>
          </cell>
          <cell r="N21">
            <v>24590.19359</v>
          </cell>
        </row>
        <row r="22">
          <cell r="A22" t="str">
            <v>广州一动</v>
          </cell>
          <cell r="B22">
            <v>2823.3446099999996</v>
          </cell>
          <cell r="C22">
            <v>1482.3997200000008</v>
          </cell>
          <cell r="D22">
            <v>1971.0386600000002</v>
          </cell>
          <cell r="E22">
            <v>2032.5125699999994</v>
          </cell>
          <cell r="F22">
            <v>8309.29556</v>
          </cell>
          <cell r="G22">
            <v>1952.0334000000003</v>
          </cell>
          <cell r="H22">
            <v>10261.32896</v>
          </cell>
          <cell r="I22">
            <v>1561.9418499999992</v>
          </cell>
          <cell r="J22">
            <v>11823.27081</v>
          </cell>
          <cell r="K22">
            <v>1931.07726</v>
          </cell>
          <cell r="L22">
            <v>13754.34807</v>
          </cell>
          <cell r="M22">
            <v>3294.3669899999986</v>
          </cell>
          <cell r="N22">
            <v>17048.71506</v>
          </cell>
        </row>
        <row r="23">
          <cell r="A23" t="str">
            <v>南宁一动</v>
          </cell>
          <cell r="B23">
            <v>2282.24109</v>
          </cell>
          <cell r="C23">
            <v>2831.08776</v>
          </cell>
          <cell r="D23">
            <v>1880.5837200000005</v>
          </cell>
          <cell r="E23">
            <v>2582.68189</v>
          </cell>
          <cell r="F23">
            <v>9576.59446</v>
          </cell>
          <cell r="G23">
            <v>3826.402969999999</v>
          </cell>
          <cell r="H23">
            <v>13402.99743</v>
          </cell>
          <cell r="I23">
            <v>2769.40617</v>
          </cell>
          <cell r="J23">
            <v>16172.4036</v>
          </cell>
          <cell r="K23">
            <v>2569.59583</v>
          </cell>
          <cell r="L23">
            <v>18741.99943</v>
          </cell>
          <cell r="M23">
            <v>3500.7159900000006</v>
          </cell>
          <cell r="N23">
            <v>22242.71542</v>
          </cell>
        </row>
        <row r="24">
          <cell r="A24" t="str">
            <v>武汉一动</v>
          </cell>
          <cell r="B24">
            <v>8135.93822</v>
          </cell>
          <cell r="C24">
            <v>5376.557809999998</v>
          </cell>
          <cell r="D24">
            <v>4133.663930000002</v>
          </cell>
          <cell r="E24">
            <v>5815.707599999998</v>
          </cell>
          <cell r="F24">
            <v>23461.86756</v>
          </cell>
          <cell r="G24">
            <v>5901.8919099999985</v>
          </cell>
          <cell r="H24">
            <v>29363.759469999997</v>
          </cell>
          <cell r="I24">
            <v>4771.037770000003</v>
          </cell>
          <cell r="J24">
            <v>34134.79724</v>
          </cell>
          <cell r="K24">
            <v>5867.604570000003</v>
          </cell>
          <cell r="L24">
            <v>40002.40181</v>
          </cell>
          <cell r="M24">
            <v>6503.30741999999</v>
          </cell>
          <cell r="N24">
            <v>46505.70922999999</v>
          </cell>
        </row>
        <row r="25">
          <cell r="A25" t="str">
            <v>长沙一动</v>
          </cell>
          <cell r="B25">
            <v>4472.37819</v>
          </cell>
          <cell r="C25">
            <v>3447.0961799999995</v>
          </cell>
          <cell r="D25">
            <v>2920.240889999999</v>
          </cell>
          <cell r="E25">
            <v>3730.559930000002</v>
          </cell>
          <cell r="F25">
            <v>14570.27519</v>
          </cell>
          <cell r="G25">
            <v>3644.852859999999</v>
          </cell>
          <cell r="H25">
            <v>18215.12805</v>
          </cell>
          <cell r="I25">
            <v>2330.784910000002</v>
          </cell>
          <cell r="J25">
            <v>20545.91296</v>
          </cell>
          <cell r="K25">
            <v>3269.1243499999982</v>
          </cell>
          <cell r="L25">
            <v>23815.03731</v>
          </cell>
          <cell r="M25">
            <v>4243.8858</v>
          </cell>
          <cell r="N25">
            <v>28058.92311</v>
          </cell>
        </row>
        <row r="26">
          <cell r="A26" t="str">
            <v>北京一动</v>
          </cell>
          <cell r="B26">
            <v>8940.72522</v>
          </cell>
          <cell r="C26">
            <v>4164.0754</v>
          </cell>
          <cell r="D26">
            <v>5620.2705799999985</v>
          </cell>
          <cell r="E26">
            <v>7952.65062</v>
          </cell>
          <cell r="F26">
            <v>26677.72182</v>
          </cell>
          <cell r="G26">
            <v>7651.9616499999975</v>
          </cell>
          <cell r="H26">
            <v>34329.683469999996</v>
          </cell>
          <cell r="I26">
            <v>6198.630080000003</v>
          </cell>
          <cell r="J26">
            <v>40528.31355</v>
          </cell>
          <cell r="K26">
            <v>9736.662930000013</v>
          </cell>
          <cell r="L26">
            <v>50264.97648000001</v>
          </cell>
          <cell r="M26">
            <v>11981.14269999999</v>
          </cell>
          <cell r="N26">
            <v>62246.11918</v>
          </cell>
        </row>
        <row r="27">
          <cell r="A27" t="str">
            <v>上海一动</v>
          </cell>
          <cell r="B27">
            <v>2526.38266</v>
          </cell>
          <cell r="C27">
            <v>1616.6772499999997</v>
          </cell>
          <cell r="D27">
            <v>1898.3610199999994</v>
          </cell>
          <cell r="E27">
            <v>1250.1303500000013</v>
          </cell>
          <cell r="F27">
            <v>7291.551280000001</v>
          </cell>
          <cell r="G27">
            <v>1952.51372</v>
          </cell>
          <cell r="H27">
            <v>9244.065</v>
          </cell>
          <cell r="I27">
            <v>1497.4685199999985</v>
          </cell>
          <cell r="J27">
            <v>10741.533519999999</v>
          </cell>
          <cell r="K27">
            <v>1868.4127400000016</v>
          </cell>
          <cell r="L27">
            <v>12609.94626</v>
          </cell>
          <cell r="M27">
            <v>1961.027</v>
          </cell>
          <cell r="N27">
            <v>14570.97326</v>
          </cell>
        </row>
        <row r="28">
          <cell r="A28" t="str">
            <v>国际部</v>
          </cell>
          <cell r="B28">
            <v>2896.3643399999996</v>
          </cell>
          <cell r="C28">
            <v>5804.996809999998</v>
          </cell>
          <cell r="D28">
            <v>869.77665</v>
          </cell>
          <cell r="E28">
            <v>2619.3303100000003</v>
          </cell>
          <cell r="F28">
            <v>12190.468109999998</v>
          </cell>
          <cell r="G28">
            <v>2652.54159</v>
          </cell>
          <cell r="H28">
            <v>14843.009699999999</v>
          </cell>
          <cell r="I28">
            <v>3914.62178</v>
          </cell>
          <cell r="J28">
            <v>18757.63148</v>
          </cell>
          <cell r="K28">
            <v>3711.2578599999997</v>
          </cell>
          <cell r="L28">
            <v>22468.88934</v>
          </cell>
          <cell r="M28">
            <v>2608.2232200000003</v>
          </cell>
          <cell r="N28">
            <v>25077.11256</v>
          </cell>
        </row>
        <row r="29">
          <cell r="A29" t="str">
            <v>零售业务部百丽</v>
          </cell>
          <cell r="B29">
            <v>0</v>
          </cell>
          <cell r="D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</row>
        <row r="30">
          <cell r="A30" t="str">
            <v>其他</v>
          </cell>
          <cell r="B30">
            <v>198.81493</v>
          </cell>
          <cell r="C30">
            <v>62.3384899999999</v>
          </cell>
          <cell r="D30">
            <v>3416.36634999999</v>
          </cell>
          <cell r="E30">
            <v>2567.784419999989</v>
          </cell>
          <cell r="F30">
            <v>6245.304189999979</v>
          </cell>
          <cell r="G30">
            <v>1528.34129</v>
          </cell>
          <cell r="H30">
            <v>7773.645479999979</v>
          </cell>
          <cell r="I30">
            <v>608.5212799999986</v>
          </cell>
          <cell r="J30">
            <v>8004.166759999978</v>
          </cell>
          <cell r="K30">
            <v>126.41369999999999</v>
          </cell>
          <cell r="L30">
            <v>8130.580459999978</v>
          </cell>
          <cell r="M30">
            <v>460.55324</v>
          </cell>
          <cell r="N30">
            <v>8591.133699999978</v>
          </cell>
        </row>
        <row r="31">
          <cell r="A31" t="str">
            <v>广体零售</v>
          </cell>
          <cell r="B31">
            <v>1167.2082492308691</v>
          </cell>
          <cell r="C31">
            <v>274.78</v>
          </cell>
          <cell r="D31">
            <v>1208.9790765814541</v>
          </cell>
          <cell r="E31">
            <v>1564.4267947858316</v>
          </cell>
          <cell r="F31">
            <v>4215.394120598155</v>
          </cell>
          <cell r="G31">
            <v>785.2115647466999</v>
          </cell>
          <cell r="H31">
            <v>5000.6056853448545</v>
          </cell>
          <cell r="I31">
            <v>725.782889999998</v>
          </cell>
          <cell r="J31">
            <v>5726.388575344852</v>
          </cell>
          <cell r="K31">
            <v>623.019680841113</v>
          </cell>
          <cell r="L31">
            <v>6349.408256185965</v>
          </cell>
          <cell r="M31">
            <v>1034</v>
          </cell>
          <cell r="N31">
            <v>7383.408256185965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七年数据比较"/>
      <sheetName val="七年数据比较图表"/>
      <sheetName val="分品牌利润表"/>
      <sheetName val="分部报告"/>
      <sheetName val="营业费用同期比较"/>
      <sheetName val="管理费用同期比较"/>
      <sheetName val="人力费用分公司比较"/>
      <sheetName val="人力费用同期比较"/>
      <sheetName val="其他收入同期比较"/>
      <sheetName val="财务费用同期比较"/>
      <sheetName val="所得税分析"/>
      <sheetName val="每股收益及股息"/>
      <sheetName val="租赁费同期比较"/>
      <sheetName val="特许权费用及收入明细"/>
      <sheetName val="凯胜并购的商誉及评估增值摊销影响"/>
      <sheetName val="收购支付款项"/>
      <sheetName val="土地使用权无形资产变动表-original"/>
    </sheetNames>
    <sheetDataSet>
      <sheetData sheetId="4">
        <row r="7">
          <cell r="C7">
            <v>9478527</v>
          </cell>
          <cell r="E7">
            <v>0.13015723311684524</v>
          </cell>
        </row>
        <row r="19">
          <cell r="C19">
            <v>1108487</v>
          </cell>
        </row>
        <row r="30">
          <cell r="C30">
            <v>0.4728159765752632</v>
          </cell>
        </row>
        <row r="31">
          <cell r="C31">
            <v>0.3301625874990914</v>
          </cell>
        </row>
        <row r="39">
          <cell r="C39">
            <v>0.2499996687675636</v>
          </cell>
        </row>
        <row r="42">
          <cell r="C42">
            <v>0.11694717966198756</v>
          </cell>
        </row>
        <row r="127">
          <cell r="C127">
            <v>52</v>
          </cell>
        </row>
        <row r="128">
          <cell r="C128">
            <v>52</v>
          </cell>
        </row>
        <row r="132">
          <cell r="C132">
            <v>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七年数据比较"/>
      <sheetName val="七年数据比较图表"/>
      <sheetName val="五年数据比较图表-1"/>
      <sheetName val="分品牌利润表"/>
      <sheetName val="分品牌利润表分析"/>
      <sheetName val="分部报告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人力费用分公司比较"/>
      <sheetName val="租赁费同期比较"/>
      <sheetName val="特许权费用及收入明细"/>
      <sheetName val="收购支付款项-千元"/>
    </sheetNames>
    <sheetDataSet>
      <sheetData sheetId="4">
        <row r="32">
          <cell r="C32">
            <v>0.387</v>
          </cell>
        </row>
        <row r="128">
          <cell r="C128">
            <v>72</v>
          </cell>
        </row>
        <row r="129">
          <cell r="C129">
            <v>63</v>
          </cell>
        </row>
        <row r="133">
          <cell r="C133">
            <v>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FRS报表"/>
      <sheetName val="PRC-资产负债表"/>
      <sheetName val="PRC-利润表"/>
      <sheetName val="现金流量表"/>
      <sheetName val="坏账准备"/>
      <sheetName val="应收帐款-各公司"/>
      <sheetName val="存货大类表"/>
      <sheetName val="固定资产"/>
      <sheetName val="土地使用权"/>
      <sheetName val="无形资产"/>
      <sheetName val="应交税金"/>
      <sheetName val="收入成本明细表IFRS"/>
      <sheetName val="收入成本明细表PRC"/>
      <sheetName val="费用统计表"/>
      <sheetName val="管理费用"/>
      <sheetName val="营业费用"/>
      <sheetName val="财务费用"/>
    </sheetNames>
    <sheetDataSet>
      <sheetData sheetId="6">
        <row r="2">
          <cell r="C2">
            <v>34887244.492000096</v>
          </cell>
          <cell r="D2">
            <v>298029110.77000004</v>
          </cell>
        </row>
        <row r="3">
          <cell r="C3">
            <v>16038615.221</v>
          </cell>
          <cell r="D3">
            <v>190351613.98</v>
          </cell>
        </row>
        <row r="4">
          <cell r="C4">
            <v>5573053.509000001</v>
          </cell>
          <cell r="D4">
            <v>33712817.07</v>
          </cell>
        </row>
        <row r="5">
          <cell r="C5">
            <v>82816.94</v>
          </cell>
          <cell r="D5">
            <v>16563410.43</v>
          </cell>
        </row>
        <row r="6">
          <cell r="C6">
            <v>102446.65749999999</v>
          </cell>
          <cell r="D6">
            <v>18870902.9900001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FRS报表"/>
    </sheetNames>
    <sheetDataSet>
      <sheetData sheetId="0">
        <row r="73">
          <cell r="P73">
            <v>4289883829.576927</v>
          </cell>
        </row>
        <row r="76">
          <cell r="Q76">
            <v>0.4722819622342517</v>
          </cell>
        </row>
        <row r="80">
          <cell r="Q80">
            <v>0.3886109921844583</v>
          </cell>
        </row>
        <row r="88">
          <cell r="Q88">
            <v>0.25</v>
          </cell>
        </row>
        <row r="93">
          <cell r="P93">
            <v>285190381.9454359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1000000"/>
      <sheetName val="000000000"/>
      <sheetName val="100000000"/>
      <sheetName val="200000000"/>
      <sheetName val="300000000"/>
      <sheetName val="400000000"/>
      <sheetName val="500000000"/>
      <sheetName val="600000000"/>
      <sheetName val="700000000"/>
      <sheetName val="0000000000"/>
      <sheetName val="1000000000"/>
      <sheetName val="2000000000"/>
      <sheetName val="3000000000"/>
      <sheetName val="4000000000"/>
      <sheetName val="5000000000"/>
      <sheetName val="6000000000"/>
      <sheetName val="7000000000"/>
      <sheetName val="8000000000"/>
      <sheetName val="9000000000"/>
      <sheetName val="a000000000"/>
      <sheetName val="封面"/>
      <sheetName val="目录"/>
      <sheetName val="主要指标"/>
      <sheetName val="主表-百万元版"/>
      <sheetName val="主表-千元版"/>
      <sheetName val="七年数据比较"/>
      <sheetName val="七年数据比较图表"/>
      <sheetName val="分品牌利润表"/>
      <sheetName val="分品牌利润表分析"/>
      <sheetName val="分部报告"/>
      <sheetName val="营业费用同期比较"/>
      <sheetName val="管理费用同期比较"/>
      <sheetName val="人力费用分公司比较"/>
      <sheetName val="人力费用同期比较"/>
      <sheetName val="其他收入同期比较"/>
      <sheetName val="财务费用同期比较"/>
      <sheetName val="所得税分析"/>
      <sheetName val="每股收益及股息"/>
      <sheetName val="租赁费同期比较"/>
      <sheetName val="特许权费用及收入明细"/>
      <sheetName val="成本费用上下半年变动分析"/>
      <sheetName val="凯胜并购的商誉及评估增值摊销影响"/>
      <sheetName val="收购支付款项"/>
      <sheetName val="土地使用权无形资产变动表-original"/>
    </sheetNames>
    <sheetDataSet>
      <sheetData sheetId="25">
        <row r="7">
          <cell r="C7">
            <v>8928526</v>
          </cell>
        </row>
        <row r="8">
          <cell r="C8">
            <v>-4814013</v>
          </cell>
        </row>
        <row r="10">
          <cell r="C10">
            <v>-2909922</v>
          </cell>
        </row>
        <row r="11">
          <cell r="C11">
            <v>-717068</v>
          </cell>
        </row>
        <row r="12">
          <cell r="C12">
            <v>143433</v>
          </cell>
        </row>
        <row r="17">
          <cell r="C17">
            <v>-136408</v>
          </cell>
        </row>
        <row r="20">
          <cell r="C20">
            <v>385813</v>
          </cell>
        </row>
        <row r="84">
          <cell r="C84">
            <v>1132965</v>
          </cell>
        </row>
        <row r="85">
          <cell r="C85">
            <v>2094440</v>
          </cell>
        </row>
        <row r="86">
          <cell r="C86">
            <v>344527</v>
          </cell>
        </row>
        <row r="88">
          <cell r="C88">
            <v>13194</v>
          </cell>
        </row>
        <row r="89">
          <cell r="C89">
            <v>1196474</v>
          </cell>
        </row>
        <row r="93">
          <cell r="C93">
            <v>111604</v>
          </cell>
        </row>
        <row r="94">
          <cell r="C94">
            <v>312379</v>
          </cell>
        </row>
        <row r="95">
          <cell r="C95">
            <v>-52415</v>
          </cell>
        </row>
        <row r="96">
          <cell r="C96">
            <v>365150</v>
          </cell>
        </row>
        <row r="97">
          <cell r="C97">
            <v>4956</v>
          </cell>
        </row>
        <row r="99">
          <cell r="C99">
            <v>0</v>
          </cell>
        </row>
        <row r="100">
          <cell r="C100">
            <v>2730169</v>
          </cell>
        </row>
        <row r="102">
          <cell r="C102">
            <v>192816</v>
          </cell>
        </row>
        <row r="106">
          <cell r="C106">
            <v>458793</v>
          </cell>
        </row>
        <row r="107">
          <cell r="C107">
            <v>61030</v>
          </cell>
        </row>
        <row r="108">
          <cell r="C108">
            <v>81269</v>
          </cell>
        </row>
        <row r="110">
          <cell r="C110">
            <v>1462398</v>
          </cell>
        </row>
        <row r="111">
          <cell r="C111">
            <v>662480</v>
          </cell>
        </row>
        <row r="112">
          <cell r="C112">
            <v>838059</v>
          </cell>
        </row>
        <row r="113">
          <cell r="C113">
            <v>28481</v>
          </cell>
        </row>
        <row r="114">
          <cell r="C114">
            <v>71649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1000000"/>
      <sheetName val="2000000"/>
      <sheetName val="000000000"/>
      <sheetName val="100000000"/>
      <sheetName val="200000000"/>
      <sheetName val="300000000"/>
      <sheetName val="400000000"/>
      <sheetName val="500000000"/>
      <sheetName val="600000000"/>
      <sheetName val="700000000"/>
      <sheetName val="0000000000"/>
      <sheetName val="1000000000"/>
      <sheetName val="2000000000"/>
      <sheetName val="3000000000"/>
      <sheetName val="4000000000"/>
      <sheetName val="5000000000"/>
      <sheetName val="6000000000"/>
      <sheetName val="7000000000"/>
      <sheetName val="8000000000"/>
      <sheetName val="9000000000"/>
      <sheetName val="a000000000"/>
      <sheetName val="b000000000"/>
      <sheetName val="3000000"/>
      <sheetName val="4000000"/>
      <sheetName val="800000000"/>
      <sheetName val="底稿-集团"/>
      <sheetName val="Sheet1"/>
      <sheetName val="中文版"/>
      <sheetName val="inventory"/>
      <sheetName val="长期应付影响"/>
    </sheetNames>
    <sheetDataSet>
      <sheetData sheetId="26">
        <row r="15">
          <cell r="B15">
            <v>427476.91042175004</v>
          </cell>
        </row>
        <row r="16">
          <cell r="B16">
            <v>-411907</v>
          </cell>
        </row>
        <row r="22">
          <cell r="B22">
            <v>-298021</v>
          </cell>
        </row>
        <row r="23">
          <cell r="B23">
            <v>-89612</v>
          </cell>
        </row>
        <row r="24">
          <cell r="B24">
            <v>-150</v>
          </cell>
        </row>
        <row r="27">
          <cell r="B27">
            <v>6198</v>
          </cell>
        </row>
        <row r="32">
          <cell r="B32">
            <v>-12830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计提汇总表"/>
      <sheetName val="汇总"/>
      <sheetName val="底稿2"/>
      <sheetName val="底稿"/>
      <sheetName val="原辅料"/>
    </sheetNames>
    <sheetDataSet>
      <sheetData sheetId="2">
        <row r="25">
          <cell r="J25">
            <v>720485.09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存货跌价计提"/>
    </sheetNames>
    <sheetDataSet>
      <sheetData sheetId="0">
        <row r="9">
          <cell r="F9">
            <v>1838335.64</v>
          </cell>
        </row>
        <row r="10">
          <cell r="F10">
            <v>406500.81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表-百万元版"/>
      <sheetName val="主表-千元版"/>
      <sheetName val="五年数据比较"/>
      <sheetName val="五年数据比较图表"/>
      <sheetName val="五年数据比较图表-1"/>
      <sheetName val="分品牌利润表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租赁费同期比较"/>
      <sheetName val="特许权费用及收入明细"/>
      <sheetName val="固定资产变动表"/>
      <sheetName val="土地及无形资产变动表"/>
      <sheetName val="递延税项"/>
      <sheetName val="长期应收款"/>
      <sheetName val="收购支付款项"/>
      <sheetName val="存货跌价准备同期比较"/>
      <sheetName val="坏账准备同期比较"/>
      <sheetName val="其他应收应付明细"/>
      <sheetName val="货币资金明细表"/>
      <sheetName val="土地使用权无形资产变动表"/>
      <sheetName val="股本及储备变动表"/>
      <sheetName val="应付特许权使用费"/>
      <sheetName val="李宁有限公司资产负债表"/>
      <sheetName val="间接法现金流量表同期比较"/>
      <sheetName val="五大客户五大供应商"/>
      <sheetName val="经销商级别统计"/>
      <sheetName val="TOP20经销商"/>
      <sheetName val="TOP20供应商"/>
      <sheetName val="EPOS"/>
      <sheetName val="店面分布图"/>
      <sheetName val="基金公司预测"/>
      <sheetName val="同行业比较"/>
      <sheetName val="EBITDA调节表"/>
      <sheetName val="利润表项目比较-半年度"/>
      <sheetName val="店铺数量比较-半年度"/>
      <sheetName val="按06年口径划分大区销售"/>
      <sheetName val="红双喜业绩占比"/>
      <sheetName val="竞品信息"/>
      <sheetName val="期权成本计算表"/>
      <sheetName val="期权成本分摊表"/>
      <sheetName val="期权数量变动表"/>
      <sheetName val="IFRS报表打印"/>
      <sheetName val="IFRS报表"/>
      <sheetName val="资产负债表"/>
      <sheetName val="Sheet1"/>
      <sheetName val="PRC-资产负债表"/>
      <sheetName val="PRC-利润表"/>
      <sheetName val="现金流量间接法"/>
      <sheetName val="坏账准备"/>
      <sheetName val="应收帐款-各公司"/>
      <sheetName val="存货大类账龄"/>
      <sheetName val="固定资产"/>
      <sheetName val="土地使用权"/>
      <sheetName val="无形资产"/>
      <sheetName val="应交税金"/>
      <sheetName val="收入成本明细表IFRS"/>
      <sheetName val="收入成本明细表PRC"/>
      <sheetName val="收入分公司"/>
      <sheetName val="营业税金及附加"/>
      <sheetName val="费用统计表"/>
      <sheetName val="管理费用"/>
      <sheetName val="营业费用"/>
      <sheetName val="财务费用"/>
    </sheetNames>
    <sheetDataSet>
      <sheetData sheetId="3">
        <row r="83">
          <cell r="C83">
            <v>66587.5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资产负债表"/>
    </sheetNames>
    <sheetDataSet>
      <sheetData sheetId="2">
        <row r="16">
          <cell r="V16">
            <v>1429322754.27</v>
          </cell>
        </row>
        <row r="17">
          <cell r="V17">
            <v>0</v>
          </cell>
        </row>
        <row r="21">
          <cell r="V21">
            <v>896356648.3100001</v>
          </cell>
        </row>
        <row r="22">
          <cell r="V22">
            <v>62109294.49</v>
          </cell>
        </row>
        <row r="25">
          <cell r="V25">
            <v>114188586.72999999</v>
          </cell>
        </row>
        <row r="28">
          <cell r="V28">
            <v>556397914.55</v>
          </cell>
        </row>
        <row r="35">
          <cell r="V35">
            <v>78530671.16</v>
          </cell>
        </row>
        <row r="46">
          <cell r="V46">
            <v>378202162.29999995</v>
          </cell>
        </row>
        <row r="48">
          <cell r="V48">
            <v>25524597.439999998</v>
          </cell>
        </row>
        <row r="50">
          <cell r="V50">
            <v>78668118.4</v>
          </cell>
        </row>
        <row r="51">
          <cell r="V51">
            <v>243852426.46</v>
          </cell>
        </row>
        <row r="52">
          <cell r="V52">
            <v>40687697.23</v>
          </cell>
        </row>
        <row r="57">
          <cell r="V57">
            <v>-575840000</v>
          </cell>
        </row>
        <row r="60">
          <cell r="V60">
            <v>-788622595.85</v>
          </cell>
        </row>
        <row r="61">
          <cell r="V61">
            <v>-122583235.19000001</v>
          </cell>
        </row>
        <row r="62">
          <cell r="V62">
            <v>-68248997.82</v>
          </cell>
        </row>
        <row r="63">
          <cell r="V63">
            <v>-59706564.08</v>
          </cell>
        </row>
        <row r="65">
          <cell r="V65">
            <v>-58896.99</v>
          </cell>
        </row>
        <row r="66">
          <cell r="V66">
            <v>-330252652.27</v>
          </cell>
        </row>
        <row r="67">
          <cell r="V67">
            <v>-10648313.685427114</v>
          </cell>
        </row>
        <row r="76">
          <cell r="V76">
            <v>-1062180.62</v>
          </cell>
        </row>
        <row r="78">
          <cell r="V78">
            <v>-49220909.44457289</v>
          </cell>
        </row>
        <row r="81">
          <cell r="V81">
            <v>-110167872.83</v>
          </cell>
        </row>
        <row r="82">
          <cell r="V82">
            <v>-1864070644.9199998</v>
          </cell>
        </row>
        <row r="83">
          <cell r="V83">
            <v>76641992.36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Sheet2"/>
      <sheetName val="Sheet3"/>
    </sheetNames>
    <sheetDataSet>
      <sheetData sheetId="2">
        <row r="15">
          <cell r="N15">
            <v>-3060768401.6</v>
          </cell>
        </row>
        <row r="16">
          <cell r="N16">
            <v>-60028589.62</v>
          </cell>
        </row>
        <row r="18">
          <cell r="N18">
            <v>1578573968.42</v>
          </cell>
        </row>
        <row r="19">
          <cell r="N19">
            <v>0</v>
          </cell>
        </row>
        <row r="21">
          <cell r="N21">
            <v>898410300.8199999</v>
          </cell>
        </row>
        <row r="22">
          <cell r="N22">
            <v>191257210.88845602</v>
          </cell>
        </row>
        <row r="23">
          <cell r="N23">
            <v>5375088.211544</v>
          </cell>
        </row>
        <row r="32">
          <cell r="N32">
            <v>113448706.59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底稿-集团"/>
      <sheetName val="长期应付影响"/>
    </sheetNames>
    <sheetDataSet>
      <sheetData sheetId="0">
        <row r="22">
          <cell r="S22">
            <v>-6238.43112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6"/>
  <sheetViews>
    <sheetView showGridLines="0" view="pageBreakPreview" zoomScale="75" zoomScaleNormal="75" zoomScaleSheetLayoutView="75" workbookViewId="0" topLeftCell="A24">
      <selection activeCell="D41" sqref="D41"/>
    </sheetView>
  </sheetViews>
  <sheetFormatPr defaultColWidth="9.140625" defaultRowHeight="12.75"/>
  <cols>
    <col min="1" max="1" width="27.28125" style="1" customWidth="1"/>
    <col min="2" max="2" width="2.140625" style="1" customWidth="1"/>
    <col min="3" max="3" width="19.28125" style="7" hidden="1" customWidth="1"/>
    <col min="4" max="4" width="14.28125" style="7" customWidth="1"/>
    <col min="5" max="5" width="1.1484375" style="1" customWidth="1"/>
    <col min="6" max="6" width="19.28125" style="9" hidden="1" customWidth="1"/>
    <col min="7" max="7" width="14.28125" style="12" customWidth="1"/>
    <col min="8" max="8" width="1.7109375" style="12" customWidth="1"/>
    <col min="9" max="9" width="19.28125" style="9" hidden="1" customWidth="1"/>
    <col min="10" max="10" width="16.8515625" style="1" customWidth="1"/>
    <col min="11" max="11" width="11.140625" style="1" hidden="1" customWidth="1"/>
    <col min="12" max="12" width="0" style="1" hidden="1" customWidth="1"/>
    <col min="13" max="16384" width="9.140625" style="1" customWidth="1"/>
  </cols>
  <sheetData>
    <row r="1" spans="3:9" ht="21" customHeight="1">
      <c r="C1" s="2" t="s">
        <v>204</v>
      </c>
      <c r="D1" s="2" t="s">
        <v>203</v>
      </c>
      <c r="E1" s="3"/>
      <c r="F1" s="4" t="s">
        <v>31</v>
      </c>
      <c r="G1" s="144" t="s">
        <v>205</v>
      </c>
      <c r="H1" s="5"/>
      <c r="I1" s="142" t="s">
        <v>201</v>
      </c>
    </row>
    <row r="2" spans="1:8" ht="15.75">
      <c r="A2" s="6" t="s">
        <v>32</v>
      </c>
      <c r="D2" s="8" t="s">
        <v>202</v>
      </c>
      <c r="G2" s="10" t="s">
        <v>206</v>
      </c>
      <c r="H2" s="10"/>
    </row>
    <row r="3" ht="15">
      <c r="A3" s="11"/>
    </row>
    <row r="4" ht="15.75">
      <c r="A4" s="6" t="s">
        <v>33</v>
      </c>
    </row>
    <row r="5" spans="1:10" ht="30">
      <c r="A5" s="11" t="s">
        <v>34</v>
      </c>
      <c r="C5" s="7">
        <f>'[7]资产负债表'!$V$46</f>
        <v>378202162.29999995</v>
      </c>
      <c r="D5" s="7">
        <v>378202.16229999997</v>
      </c>
      <c r="F5" s="9">
        <v>340035672.92734593</v>
      </c>
      <c r="G5" s="9">
        <f>F5/1000</f>
        <v>340035.6729273459</v>
      </c>
      <c r="H5" s="9"/>
      <c r="I5" s="9">
        <v>223986276.03828</v>
      </c>
      <c r="J5" s="13">
        <f aca="true" t="shared" si="0" ref="J5:J38">D5-G5</f>
        <v>38166.48937265406</v>
      </c>
    </row>
    <row r="6" spans="1:10" ht="15">
      <c r="A6" s="11" t="s">
        <v>35</v>
      </c>
      <c r="C6" s="7">
        <f>'[7]资产负债表'!$V$48</f>
        <v>25524597.439999998</v>
      </c>
      <c r="D6" s="7">
        <v>25524.597439999998</v>
      </c>
      <c r="F6" s="9">
        <v>25007844.71</v>
      </c>
      <c r="G6" s="9">
        <f>F6/1000</f>
        <v>25007.84471</v>
      </c>
      <c r="H6" s="9"/>
      <c r="I6" s="9">
        <v>25297150.44</v>
      </c>
      <c r="J6" s="13">
        <f t="shared" si="0"/>
        <v>516.7527299999965</v>
      </c>
    </row>
    <row r="7" spans="1:10" ht="15">
      <c r="A7" s="11" t="s">
        <v>207</v>
      </c>
      <c r="C7" s="7">
        <f>'[7]资产负债表'!$V$50</f>
        <v>78668118.4</v>
      </c>
      <c r="D7" s="7">
        <v>78668.1184</v>
      </c>
      <c r="F7" s="9">
        <v>87833826.734976</v>
      </c>
      <c r="G7" s="9">
        <f>F7/1000</f>
        <v>87833.826734976</v>
      </c>
      <c r="H7" s="9"/>
      <c r="I7" s="9">
        <v>78865684.36568001</v>
      </c>
      <c r="J7" s="13">
        <f t="shared" si="0"/>
        <v>-9165.708334975992</v>
      </c>
    </row>
    <row r="8" spans="1:10" ht="30">
      <c r="A8" s="11" t="s">
        <v>208</v>
      </c>
      <c r="C8" s="7">
        <f>'[7]资产负债表'!$V$35</f>
        <v>78530671.16</v>
      </c>
      <c r="D8" s="7">
        <v>78530.67116</v>
      </c>
      <c r="F8" s="9">
        <v>57985194.34040402</v>
      </c>
      <c r="G8" s="9">
        <f>F8/1000</f>
        <v>57985.19434040402</v>
      </c>
      <c r="H8" s="9"/>
      <c r="I8" s="9">
        <v>0</v>
      </c>
      <c r="J8" s="13">
        <f t="shared" si="0"/>
        <v>20545.476819595977</v>
      </c>
    </row>
    <row r="9" spans="1:10" ht="45">
      <c r="A9" s="11" t="s">
        <v>209</v>
      </c>
      <c r="C9" s="7">
        <f>'[7]资产负债表'!$V$51</f>
        <v>243852426.46</v>
      </c>
      <c r="D9" s="7">
        <v>243852.42646000002</v>
      </c>
      <c r="F9" s="9">
        <f>'[6]主表-千元版'!$C$83*1000</f>
        <v>66587500</v>
      </c>
      <c r="G9" s="9">
        <f>'[6]主表-千元版'!$C$83</f>
        <v>66587.5</v>
      </c>
      <c r="H9" s="9"/>
      <c r="I9" s="9">
        <v>16975107.685547695</v>
      </c>
      <c r="J9" s="13">
        <f t="shared" si="0"/>
        <v>177264.92646000002</v>
      </c>
    </row>
    <row r="10" spans="1:10" ht="30">
      <c r="A10" s="11" t="s">
        <v>210</v>
      </c>
      <c r="C10" s="7">
        <f>'[7]资产负债表'!$V$52</f>
        <v>40687697.23</v>
      </c>
      <c r="D10" s="7">
        <v>40687.69723</v>
      </c>
      <c r="F10" s="9">
        <v>29601129.721644</v>
      </c>
      <c r="G10" s="9">
        <f aca="true" t="shared" si="1" ref="G10:G37">F10/1000</f>
        <v>29601.129721644</v>
      </c>
      <c r="H10" s="9"/>
      <c r="I10" s="9">
        <v>34704214.940543994</v>
      </c>
      <c r="J10" s="13">
        <f t="shared" si="0"/>
        <v>11086.567508355998</v>
      </c>
    </row>
    <row r="11" spans="1:10" ht="31.5">
      <c r="A11" s="6" t="s">
        <v>36</v>
      </c>
      <c r="C11" s="7">
        <f>SUM(C5:C10)</f>
        <v>845465672.99</v>
      </c>
      <c r="D11" s="7">
        <v>845465.67299</v>
      </c>
      <c r="F11" s="9">
        <f>SUM(F5:F10)</f>
        <v>607051168.4343699</v>
      </c>
      <c r="G11" s="9">
        <f t="shared" si="1"/>
        <v>607051.16843437</v>
      </c>
      <c r="H11" s="9"/>
      <c r="I11" s="9">
        <v>379828433.47005177</v>
      </c>
      <c r="J11" s="13">
        <f t="shared" si="0"/>
        <v>238414.50455563003</v>
      </c>
    </row>
    <row r="12" spans="1:10" ht="15">
      <c r="A12" s="11"/>
      <c r="D12" s="7">
        <v>0</v>
      </c>
      <c r="G12" s="9">
        <f t="shared" si="1"/>
        <v>0</v>
      </c>
      <c r="H12" s="9"/>
      <c r="J12" s="13">
        <f t="shared" si="0"/>
        <v>0</v>
      </c>
    </row>
    <row r="13" spans="1:10" ht="15.75">
      <c r="A13" s="6" t="s">
        <v>37</v>
      </c>
      <c r="D13" s="7">
        <v>0</v>
      </c>
      <c r="G13" s="9">
        <f t="shared" si="1"/>
        <v>0</v>
      </c>
      <c r="H13" s="9"/>
      <c r="J13" s="13">
        <f t="shared" si="0"/>
        <v>0</v>
      </c>
    </row>
    <row r="14" spans="1:10" ht="15">
      <c r="A14" s="11" t="s">
        <v>38</v>
      </c>
      <c r="C14" s="7">
        <f>'[7]资产负债表'!$V$28</f>
        <v>556397914.55</v>
      </c>
      <c r="D14" s="7">
        <v>556397.91455</v>
      </c>
      <c r="F14" s="9">
        <v>513946528.32134503</v>
      </c>
      <c r="G14" s="9">
        <f t="shared" si="1"/>
        <v>513946.52832134505</v>
      </c>
      <c r="H14" s="9"/>
      <c r="I14" s="9">
        <v>422041359.0284494</v>
      </c>
      <c r="J14" s="13">
        <f t="shared" si="0"/>
        <v>42451.38622865494</v>
      </c>
    </row>
    <row r="15" spans="1:12" ht="15">
      <c r="A15" s="11" t="s">
        <v>39</v>
      </c>
      <c r="C15" s="7">
        <f>'[7]资产负债表'!$V$21</f>
        <v>896356648.3100001</v>
      </c>
      <c r="D15" s="7">
        <v>911693.4081300001</v>
      </c>
      <c r="F15" s="9">
        <v>684727462.5366161</v>
      </c>
      <c r="G15" s="9">
        <f t="shared" si="1"/>
        <v>684727.4625366161</v>
      </c>
      <c r="H15" s="9"/>
      <c r="I15" s="9">
        <v>594663097.914688</v>
      </c>
      <c r="J15" s="13">
        <f t="shared" si="0"/>
        <v>226965.94559338398</v>
      </c>
      <c r="K15" s="1">
        <f>(C15+F15)/2</f>
        <v>790542055.4233081</v>
      </c>
      <c r="L15" s="140">
        <f>180/C70*K15</f>
        <v>46.49079946781017</v>
      </c>
    </row>
    <row r="16" spans="1:10" ht="15.75">
      <c r="A16" s="14" t="s">
        <v>40</v>
      </c>
      <c r="C16" s="7">
        <f>'[7]资产负债表'!$V$22</f>
        <v>62109294.49</v>
      </c>
      <c r="D16" s="7">
        <v>62109.29449</v>
      </c>
      <c r="F16" s="9">
        <v>58589832.37499999</v>
      </c>
      <c r="G16" s="9">
        <f t="shared" si="1"/>
        <v>58589.83237499999</v>
      </c>
      <c r="H16" s="9"/>
      <c r="I16" s="9">
        <v>48206336.51</v>
      </c>
      <c r="J16" s="13">
        <f t="shared" si="0"/>
        <v>3519.4621150000094</v>
      </c>
    </row>
    <row r="17" spans="1:10" ht="31.5">
      <c r="A17" s="14" t="s">
        <v>41</v>
      </c>
      <c r="D17" s="7">
        <v>0</v>
      </c>
      <c r="F17" s="9">
        <v>0</v>
      </c>
      <c r="G17" s="9">
        <f t="shared" si="1"/>
        <v>0</v>
      </c>
      <c r="H17" s="9"/>
      <c r="I17" s="9">
        <v>0</v>
      </c>
      <c r="J17" s="13">
        <f t="shared" si="0"/>
        <v>0</v>
      </c>
    </row>
    <row r="18" spans="1:10" ht="15.75">
      <c r="A18" s="14" t="s">
        <v>42</v>
      </c>
      <c r="C18" s="7">
        <f>'[7]资产负债表'!$V$25</f>
        <v>114188586.72999999</v>
      </c>
      <c r="D18" s="7">
        <v>114936.25138000003</v>
      </c>
      <c r="F18" s="9">
        <f>122069596.303324-F9</f>
        <v>55482096.303324</v>
      </c>
      <c r="G18" s="9">
        <f t="shared" si="1"/>
        <v>55482.096303324</v>
      </c>
      <c r="H18" s="9"/>
      <c r="I18" s="9">
        <v>56339197.31838408</v>
      </c>
      <c r="J18" s="13">
        <f t="shared" si="0"/>
        <v>59454.155076676034</v>
      </c>
    </row>
    <row r="19" spans="1:10" ht="15.75">
      <c r="A19" s="14" t="s">
        <v>43</v>
      </c>
      <c r="D19" s="7">
        <v>0</v>
      </c>
      <c r="F19" s="9">
        <v>0</v>
      </c>
      <c r="G19" s="9">
        <f t="shared" si="1"/>
        <v>0</v>
      </c>
      <c r="H19" s="9"/>
      <c r="I19" s="9">
        <v>0</v>
      </c>
      <c r="J19" s="13">
        <f t="shared" si="0"/>
        <v>0</v>
      </c>
    </row>
    <row r="20" spans="1:10" ht="31.5">
      <c r="A20" s="15" t="s">
        <v>211</v>
      </c>
      <c r="D20" s="7">
        <v>0</v>
      </c>
      <c r="F20" s="9">
        <v>0</v>
      </c>
      <c r="G20" s="9">
        <f t="shared" si="1"/>
        <v>0</v>
      </c>
      <c r="H20" s="9"/>
      <c r="I20" s="9">
        <v>0</v>
      </c>
      <c r="J20" s="13">
        <f t="shared" si="0"/>
        <v>0</v>
      </c>
    </row>
    <row r="21" spans="1:10" ht="17.25" customHeight="1">
      <c r="A21" s="11" t="s">
        <v>212</v>
      </c>
      <c r="D21" s="7">
        <v>0</v>
      </c>
      <c r="F21" s="9">
        <v>0</v>
      </c>
      <c r="G21" s="9">
        <f t="shared" si="1"/>
        <v>0</v>
      </c>
      <c r="H21" s="9"/>
      <c r="I21" s="9">
        <v>0</v>
      </c>
      <c r="J21" s="13">
        <f t="shared" si="0"/>
        <v>0</v>
      </c>
    </row>
    <row r="22" spans="1:10" ht="30">
      <c r="A22" s="11" t="s">
        <v>44</v>
      </c>
      <c r="C22" s="7">
        <f>'[7]资产负债表'!$V$17</f>
        <v>0</v>
      </c>
      <c r="D22" s="7">
        <v>0</v>
      </c>
      <c r="F22" s="9">
        <v>11167109.23</v>
      </c>
      <c r="G22" s="9">
        <f t="shared" si="1"/>
        <v>11167.10923</v>
      </c>
      <c r="H22" s="9"/>
      <c r="I22" s="9">
        <v>10321133.18</v>
      </c>
      <c r="J22" s="13">
        <f t="shared" si="0"/>
        <v>-11167.10923</v>
      </c>
    </row>
    <row r="23" spans="1:10" ht="30">
      <c r="A23" s="11" t="s">
        <v>45</v>
      </c>
      <c r="C23" s="7">
        <f>'[7]资产负债表'!$V$16</f>
        <v>1429322754.27</v>
      </c>
      <c r="D23" s="7">
        <v>1429322.75427</v>
      </c>
      <c r="F23" s="9">
        <v>849887301.27897</v>
      </c>
      <c r="G23" s="9">
        <f t="shared" si="1"/>
        <v>849887.30127897</v>
      </c>
      <c r="H23" s="9"/>
      <c r="I23" s="9">
        <v>810766660.3137921</v>
      </c>
      <c r="J23" s="13">
        <f t="shared" si="0"/>
        <v>579435.45299103</v>
      </c>
    </row>
    <row r="24" spans="1:10" ht="15.75">
      <c r="A24" s="6" t="s">
        <v>46</v>
      </c>
      <c r="C24" s="7">
        <f>SUM(C14:C23)</f>
        <v>3058375198.3500004</v>
      </c>
      <c r="D24" s="7">
        <v>3074459.62282</v>
      </c>
      <c r="F24" s="9">
        <f>SUM(F14:F23)</f>
        <v>2173800330.045255</v>
      </c>
      <c r="G24" s="9">
        <f t="shared" si="1"/>
        <v>2173800.3300452554</v>
      </c>
      <c r="H24" s="9"/>
      <c r="I24" s="9">
        <v>1942337784.2653136</v>
      </c>
      <c r="J24" s="13">
        <f t="shared" si="0"/>
        <v>900659.2927747448</v>
      </c>
    </row>
    <row r="25" spans="1:10" ht="15">
      <c r="A25" s="11"/>
      <c r="D25" s="7">
        <v>0</v>
      </c>
      <c r="G25" s="9">
        <f t="shared" si="1"/>
        <v>0</v>
      </c>
      <c r="H25" s="9"/>
      <c r="J25" s="13">
        <f t="shared" si="0"/>
        <v>0</v>
      </c>
    </row>
    <row r="26" spans="1:10" ht="15.75">
      <c r="A26" s="6" t="s">
        <v>47</v>
      </c>
      <c r="C26" s="7">
        <f>C11+C24</f>
        <v>3903840871.34</v>
      </c>
      <c r="D26" s="7">
        <v>3919925.2958100005</v>
      </c>
      <c r="F26" s="9">
        <f>F24+F11</f>
        <v>2780851498.479625</v>
      </c>
      <c r="G26" s="9">
        <f t="shared" si="1"/>
        <v>2780851.498479625</v>
      </c>
      <c r="H26" s="9"/>
      <c r="I26" s="9">
        <v>2322166217.7353654</v>
      </c>
      <c r="J26" s="13">
        <f t="shared" si="0"/>
        <v>1139073.7973303753</v>
      </c>
    </row>
    <row r="27" spans="1:10" ht="15">
      <c r="A27" s="16"/>
      <c r="G27" s="9">
        <f t="shared" si="1"/>
        <v>0</v>
      </c>
      <c r="H27" s="9"/>
      <c r="J27" s="13">
        <f t="shared" si="0"/>
        <v>0</v>
      </c>
    </row>
    <row r="28" spans="1:10" ht="15">
      <c r="A28" s="11"/>
      <c r="G28" s="9">
        <f t="shared" si="1"/>
        <v>0</v>
      </c>
      <c r="H28" s="9"/>
      <c r="J28" s="13">
        <f t="shared" si="0"/>
        <v>0</v>
      </c>
    </row>
    <row r="29" spans="1:10" ht="31.5">
      <c r="A29" s="6" t="s">
        <v>48</v>
      </c>
      <c r="D29" s="7">
        <v>0</v>
      </c>
      <c r="G29" s="9">
        <f t="shared" si="1"/>
        <v>0</v>
      </c>
      <c r="H29" s="9"/>
      <c r="J29" s="13">
        <f t="shared" si="0"/>
        <v>0</v>
      </c>
    </row>
    <row r="30" spans="1:10" ht="15">
      <c r="A30" s="11"/>
      <c r="D30" s="7">
        <v>0</v>
      </c>
      <c r="G30" s="9">
        <f t="shared" si="1"/>
        <v>0</v>
      </c>
      <c r="H30" s="9"/>
      <c r="J30" s="13">
        <f t="shared" si="0"/>
        <v>0</v>
      </c>
    </row>
    <row r="31" spans="1:10" ht="15">
      <c r="A31" s="11" t="s">
        <v>49</v>
      </c>
      <c r="C31" s="7">
        <f>-'[7]资产负债表'!$V$81</f>
        <v>110167872.83</v>
      </c>
      <c r="D31" s="7">
        <v>110167.87283</v>
      </c>
      <c r="F31" s="9">
        <v>110022876.43999997</v>
      </c>
      <c r="G31" s="9">
        <f t="shared" si="1"/>
        <v>110022.87643999996</v>
      </c>
      <c r="H31" s="9"/>
      <c r="I31" s="9">
        <v>109613540.99</v>
      </c>
      <c r="J31" s="13">
        <f t="shared" si="0"/>
        <v>144.99639000002935</v>
      </c>
    </row>
    <row r="32" spans="1:10" ht="15">
      <c r="A32" s="11" t="s">
        <v>50</v>
      </c>
      <c r="C32" s="7">
        <f>-'[7]资产负债表'!$V$82</f>
        <v>1864070644.9199998</v>
      </c>
      <c r="D32" s="7">
        <v>1864818.30957</v>
      </c>
      <c r="F32" s="9">
        <v>1678667356.237156</v>
      </c>
      <c r="G32" s="9">
        <f t="shared" si="1"/>
        <v>1678667.3562371559</v>
      </c>
      <c r="H32" s="9"/>
      <c r="I32" s="9">
        <v>1433784591.3811693</v>
      </c>
      <c r="J32" s="13">
        <f t="shared" si="0"/>
        <v>186150.9533328442</v>
      </c>
    </row>
    <row r="33" spans="1:10" ht="14.25">
      <c r="A33" s="17" t="s">
        <v>213</v>
      </c>
      <c r="C33" s="7">
        <f>-'[7]资产负债表'!$V$83</f>
        <v>-76641992.36</v>
      </c>
      <c r="D33" s="7">
        <v>-76641.99236</v>
      </c>
      <c r="F33" s="9">
        <v>-44089474.93</v>
      </c>
      <c r="G33" s="9">
        <f t="shared" si="1"/>
        <v>-44089.47493</v>
      </c>
      <c r="H33" s="9"/>
      <c r="I33" s="9">
        <v>-7288341.51</v>
      </c>
      <c r="J33" s="13">
        <f t="shared" si="0"/>
        <v>-32552.517430000007</v>
      </c>
    </row>
    <row r="34" spans="1:10" ht="15">
      <c r="A34" s="11"/>
      <c r="D34" s="7">
        <v>0</v>
      </c>
      <c r="G34" s="9">
        <f t="shared" si="1"/>
        <v>0</v>
      </c>
      <c r="H34" s="9"/>
      <c r="J34" s="13">
        <f t="shared" si="0"/>
        <v>0</v>
      </c>
    </row>
    <row r="35" spans="1:10" ht="15.75">
      <c r="A35" s="6" t="s">
        <v>51</v>
      </c>
      <c r="C35" s="7">
        <f>SUM(C31:C33)</f>
        <v>1897596525.3899999</v>
      </c>
      <c r="D35" s="7">
        <v>1898344.19004</v>
      </c>
      <c r="F35" s="9">
        <f>SUM(F31:F34)</f>
        <v>1744600757.747156</v>
      </c>
      <c r="G35" s="9">
        <f t="shared" si="1"/>
        <v>1744600.7577471558</v>
      </c>
      <c r="H35" s="9"/>
      <c r="I35" s="9">
        <v>1536109790.8611693</v>
      </c>
      <c r="J35" s="13">
        <f t="shared" si="0"/>
        <v>153743.43229284417</v>
      </c>
    </row>
    <row r="36" spans="1:10" ht="15">
      <c r="A36" s="11"/>
      <c r="D36" s="7">
        <v>0</v>
      </c>
      <c r="G36" s="9">
        <f t="shared" si="1"/>
        <v>0</v>
      </c>
      <c r="H36" s="9"/>
      <c r="J36" s="13">
        <f t="shared" si="0"/>
        <v>0</v>
      </c>
    </row>
    <row r="37" spans="1:10" ht="15.75">
      <c r="A37" s="6" t="s">
        <v>52</v>
      </c>
      <c r="D37" s="7">
        <v>0</v>
      </c>
      <c r="F37" s="9">
        <v>0</v>
      </c>
      <c r="G37" s="9">
        <f t="shared" si="1"/>
        <v>0</v>
      </c>
      <c r="H37" s="9"/>
      <c r="I37" s="9">
        <v>0</v>
      </c>
      <c r="J37" s="13">
        <f t="shared" si="0"/>
        <v>0</v>
      </c>
    </row>
    <row r="38" spans="1:10" ht="15">
      <c r="A38" s="11"/>
      <c r="D38" s="7">
        <v>0</v>
      </c>
      <c r="G38" s="9"/>
      <c r="H38" s="9"/>
      <c r="J38" s="13">
        <f t="shared" si="0"/>
        <v>0</v>
      </c>
    </row>
    <row r="39" spans="1:10" ht="15">
      <c r="A39" s="11"/>
      <c r="D39" s="143" t="s">
        <v>203</v>
      </c>
      <c r="E39" s="3"/>
      <c r="F39" s="4" t="s">
        <v>31</v>
      </c>
      <c r="G39" s="144" t="s">
        <v>205</v>
      </c>
      <c r="H39" s="5"/>
      <c r="I39" s="142" t="s">
        <v>201</v>
      </c>
      <c r="J39" s="13"/>
    </row>
    <row r="40" spans="1:10" ht="15.75">
      <c r="A40" s="6" t="s">
        <v>53</v>
      </c>
      <c r="D40" s="7">
        <v>0</v>
      </c>
      <c r="G40" s="9"/>
      <c r="H40" s="9"/>
      <c r="J40" s="13">
        <f aca="true" t="shared" si="2" ref="J40:J56">D40-G40</f>
        <v>0</v>
      </c>
    </row>
    <row r="41" spans="1:10" ht="15">
      <c r="A41" s="11"/>
      <c r="D41" s="7">
        <v>0</v>
      </c>
      <c r="G41" s="9"/>
      <c r="H41" s="9"/>
      <c r="J41" s="13">
        <f t="shared" si="2"/>
        <v>0</v>
      </c>
    </row>
    <row r="42" spans="1:10" ht="31.5">
      <c r="A42" s="6" t="s">
        <v>54</v>
      </c>
      <c r="D42" s="7">
        <v>0</v>
      </c>
      <c r="G42" s="9"/>
      <c r="H42" s="9"/>
      <c r="J42" s="13">
        <f t="shared" si="2"/>
        <v>0</v>
      </c>
    </row>
    <row r="43" spans="1:10" ht="30">
      <c r="A43" s="11" t="s">
        <v>55</v>
      </c>
      <c r="C43" s="7">
        <f>-'[7]资产负债表'!$V$78</f>
        <v>49220909.44457289</v>
      </c>
      <c r="D43" s="7">
        <v>46635.540810000006</v>
      </c>
      <c r="F43" s="9">
        <v>57603629.85163454</v>
      </c>
      <c r="G43" s="9">
        <f aca="true" t="shared" si="3" ref="G43:G62">F43/1000</f>
        <v>57603.62985163454</v>
      </c>
      <c r="H43" s="9"/>
      <c r="I43" s="9">
        <v>69117992.93000004</v>
      </c>
      <c r="J43" s="13">
        <f t="shared" si="2"/>
        <v>-10968.089041634536</v>
      </c>
    </row>
    <row r="44" spans="1:10" ht="15">
      <c r="A44" s="11"/>
      <c r="G44" s="9">
        <f t="shared" si="3"/>
        <v>0</v>
      </c>
      <c r="H44" s="9"/>
      <c r="J44" s="13">
        <f t="shared" si="2"/>
        <v>0</v>
      </c>
    </row>
    <row r="45" spans="1:10" ht="15.75">
      <c r="A45" s="6" t="s">
        <v>56</v>
      </c>
      <c r="D45" s="7">
        <v>0</v>
      </c>
      <c r="G45" s="9">
        <f t="shared" si="3"/>
        <v>0</v>
      </c>
      <c r="H45" s="9"/>
      <c r="J45" s="13">
        <f t="shared" si="2"/>
        <v>0</v>
      </c>
    </row>
    <row r="46" spans="1:10" ht="15">
      <c r="A46" s="11" t="s">
        <v>57</v>
      </c>
      <c r="C46" s="7">
        <f>-'[7]资产负债表'!$V$60</f>
        <v>788622595.85</v>
      </c>
      <c r="D46" s="7">
        <v>788622.59585</v>
      </c>
      <c r="F46" s="9">
        <v>490416579.65999997</v>
      </c>
      <c r="G46" s="9">
        <f t="shared" si="3"/>
        <v>490416.57966</v>
      </c>
      <c r="H46" s="9"/>
      <c r="I46" s="9">
        <v>382586202.25</v>
      </c>
      <c r="J46" s="13">
        <f t="shared" si="2"/>
        <v>298206.01619000005</v>
      </c>
    </row>
    <row r="47" spans="1:10" ht="15">
      <c r="A47" s="11" t="s">
        <v>58</v>
      </c>
      <c r="D47" s="7">
        <v>0</v>
      </c>
      <c r="F47" s="9">
        <v>0</v>
      </c>
      <c r="G47" s="9">
        <f t="shared" si="3"/>
        <v>0</v>
      </c>
      <c r="H47" s="9"/>
      <c r="I47" s="9">
        <v>0</v>
      </c>
      <c r="J47" s="13">
        <f t="shared" si="2"/>
        <v>0</v>
      </c>
    </row>
    <row r="48" spans="1:10" ht="15">
      <c r="A48" s="11" t="s">
        <v>59</v>
      </c>
      <c r="C48" s="7">
        <f>-'[7]资产负债表'!$V$61</f>
        <v>122583235.19000001</v>
      </c>
      <c r="D48" s="7">
        <v>137919.99501</v>
      </c>
      <c r="F48" s="9">
        <v>74787521.85</v>
      </c>
      <c r="G48" s="9">
        <f t="shared" si="3"/>
        <v>74787.52184999999</v>
      </c>
      <c r="H48" s="9"/>
      <c r="I48" s="9">
        <v>24448353.76</v>
      </c>
      <c r="J48" s="13">
        <f t="shared" si="2"/>
        <v>63132.47316000002</v>
      </c>
    </row>
    <row r="49" spans="1:10" ht="15">
      <c r="A49" s="11" t="s">
        <v>60</v>
      </c>
      <c r="C49" s="7">
        <f>-'[7]资产负债表'!$V$66</f>
        <v>330252652.27</v>
      </c>
      <c r="D49" s="7">
        <v>330252.65226999996</v>
      </c>
      <c r="F49" s="9">
        <v>167790496.167984</v>
      </c>
      <c r="G49" s="9">
        <f t="shared" si="3"/>
        <v>167790.496167984</v>
      </c>
      <c r="H49" s="9"/>
      <c r="I49" s="9">
        <v>213114913.82680002</v>
      </c>
      <c r="J49" s="13">
        <f t="shared" si="2"/>
        <v>162462.15610201596</v>
      </c>
    </row>
    <row r="50" spans="1:10" ht="15">
      <c r="A50" s="11" t="s">
        <v>61</v>
      </c>
      <c r="C50" s="7">
        <f>-'[7]资产负债表'!$V$62</f>
        <v>68248997.82</v>
      </c>
      <c r="D50" s="7">
        <v>68248.99781999999</v>
      </c>
      <c r="F50" s="9">
        <v>97940863.837392</v>
      </c>
      <c r="G50" s="9">
        <f t="shared" si="3"/>
        <v>97940.863837392</v>
      </c>
      <c r="H50" s="9"/>
      <c r="I50" s="9">
        <v>76368693.1212</v>
      </c>
      <c r="J50" s="13">
        <f t="shared" si="2"/>
        <v>-29691.866017392007</v>
      </c>
    </row>
    <row r="51" spans="1:10" ht="15">
      <c r="A51" s="11" t="s">
        <v>62</v>
      </c>
      <c r="D51" s="7">
        <v>0</v>
      </c>
      <c r="F51" s="9">
        <v>0</v>
      </c>
      <c r="G51" s="9">
        <f t="shared" si="3"/>
        <v>0</v>
      </c>
      <c r="H51" s="9"/>
      <c r="I51" s="9">
        <v>0</v>
      </c>
      <c r="J51" s="13">
        <f t="shared" si="2"/>
        <v>0</v>
      </c>
    </row>
    <row r="52" spans="1:10" ht="30">
      <c r="A52" s="18" t="s">
        <v>194</v>
      </c>
      <c r="C52" s="7">
        <f>-'[7]资产负债表'!$V$76</f>
        <v>1062180.62</v>
      </c>
      <c r="D52" s="7">
        <v>1062.18062</v>
      </c>
      <c r="F52" s="9">
        <v>1216751.5479720002</v>
      </c>
      <c r="G52" s="9">
        <f t="shared" si="3"/>
        <v>1216.7515479720003</v>
      </c>
      <c r="H52" s="9"/>
      <c r="I52" s="9">
        <v>0</v>
      </c>
      <c r="J52" s="13">
        <f t="shared" si="2"/>
        <v>-154.57092797200016</v>
      </c>
    </row>
    <row r="53" spans="1:10" ht="15">
      <c r="A53" s="11" t="s">
        <v>63</v>
      </c>
      <c r="C53" s="7">
        <f>-'[7]资产负债表'!$V$57</f>
        <v>575840000</v>
      </c>
      <c r="D53" s="7">
        <v>575840</v>
      </c>
      <c r="F53" s="9">
        <v>100000000</v>
      </c>
      <c r="G53" s="9">
        <f t="shared" si="3"/>
        <v>100000</v>
      </c>
      <c r="H53" s="9"/>
      <c r="I53" s="9">
        <v>0</v>
      </c>
      <c r="J53" s="13">
        <f t="shared" si="2"/>
        <v>475840</v>
      </c>
    </row>
    <row r="54" spans="1:10" ht="15">
      <c r="A54" s="11" t="s">
        <v>64</v>
      </c>
      <c r="C54" s="7">
        <f>-'[7]资产负债表'!$V$63</f>
        <v>59706564.08</v>
      </c>
      <c r="D54" s="7">
        <v>59706.56408</v>
      </c>
      <c r="F54" s="9">
        <v>33200667.96911999</v>
      </c>
      <c r="G54" s="9">
        <f t="shared" si="3"/>
        <v>33200.66796911999</v>
      </c>
      <c r="H54" s="9"/>
      <c r="I54" s="9">
        <v>20360945.816195983</v>
      </c>
      <c r="J54" s="13">
        <f t="shared" si="2"/>
        <v>26505.896110880007</v>
      </c>
    </row>
    <row r="55" spans="1:10" ht="15">
      <c r="A55" s="11" t="s">
        <v>65</v>
      </c>
      <c r="C55" s="7">
        <f>-'[7]资产负债表'!$V$65</f>
        <v>58896.99</v>
      </c>
      <c r="D55" s="7">
        <v>58.896989999999995</v>
      </c>
      <c r="F55" s="9">
        <v>60547.5300000906</v>
      </c>
      <c r="G55" s="9">
        <f t="shared" si="3"/>
        <v>60.547530000090596</v>
      </c>
      <c r="H55" s="9"/>
      <c r="I55" s="9">
        <v>59325.17</v>
      </c>
      <c r="J55" s="13">
        <f t="shared" si="2"/>
        <v>-1.6505400000906008</v>
      </c>
    </row>
    <row r="56" spans="1:10" ht="30">
      <c r="A56" s="11" t="s">
        <v>214</v>
      </c>
      <c r="C56" s="7">
        <f>-'[7]资产负债表'!$V$67</f>
        <v>10648313.685427114</v>
      </c>
      <c r="D56" s="7">
        <v>13233.68232</v>
      </c>
      <c r="F56" s="9">
        <v>13233682.318365462</v>
      </c>
      <c r="G56" s="9">
        <f t="shared" si="3"/>
        <v>13233.682318365461</v>
      </c>
      <c r="H56" s="9"/>
      <c r="J56" s="13">
        <f t="shared" si="2"/>
        <v>1.634538421058096E-06</v>
      </c>
    </row>
    <row r="57" spans="1:8" ht="15">
      <c r="A57" s="11"/>
      <c r="D57" s="7">
        <v>0</v>
      </c>
      <c r="G57" s="9">
        <f t="shared" si="3"/>
        <v>0</v>
      </c>
      <c r="H57" s="9"/>
    </row>
    <row r="58" spans="1:8" ht="15">
      <c r="A58" s="11"/>
      <c r="D58" s="7">
        <v>0</v>
      </c>
      <c r="G58" s="9">
        <f t="shared" si="3"/>
        <v>0</v>
      </c>
      <c r="H58" s="9"/>
    </row>
    <row r="59" spans="1:9" ht="15.75">
      <c r="A59" s="6" t="s">
        <v>66</v>
      </c>
      <c r="C59" s="7">
        <f>C43+SUM(C46:C56)</f>
        <v>2006244345.9499998</v>
      </c>
      <c r="D59" s="7">
        <v>2021581.1057699998</v>
      </c>
      <c r="F59" s="9">
        <f>SUM(F43:F58)</f>
        <v>1036250740.732468</v>
      </c>
      <c r="G59" s="9">
        <f t="shared" si="3"/>
        <v>1036250.740732468</v>
      </c>
      <c r="H59" s="9"/>
      <c r="I59" s="9">
        <v>786056426.8741959</v>
      </c>
    </row>
    <row r="60" spans="1:8" ht="15">
      <c r="A60" s="11"/>
      <c r="D60" s="7">
        <v>0</v>
      </c>
      <c r="G60" s="9">
        <f t="shared" si="3"/>
        <v>0</v>
      </c>
      <c r="H60" s="9"/>
    </row>
    <row r="61" spans="1:8" ht="15">
      <c r="A61" s="11"/>
      <c r="D61" s="7">
        <v>0</v>
      </c>
      <c r="G61" s="9">
        <f t="shared" si="3"/>
        <v>0</v>
      </c>
      <c r="H61" s="9"/>
    </row>
    <row r="62" spans="1:9" ht="31.5">
      <c r="A62" s="6" t="s">
        <v>67</v>
      </c>
      <c r="C62" s="7">
        <f>C35+C37+C59</f>
        <v>3903840871.3399997</v>
      </c>
      <c r="D62" s="7">
        <v>3919925.2958099996</v>
      </c>
      <c r="F62" s="9">
        <f>F59+F37+F35</f>
        <v>2780851498.479624</v>
      </c>
      <c r="G62" s="9">
        <f t="shared" si="3"/>
        <v>2780851.498479624</v>
      </c>
      <c r="H62" s="9"/>
      <c r="I62" s="9">
        <v>2322166217.7353654</v>
      </c>
    </row>
    <row r="63" spans="1:8" ht="15">
      <c r="A63" s="11"/>
      <c r="G63" s="9"/>
      <c r="H63" s="9"/>
    </row>
    <row r="64" spans="1:8" ht="15">
      <c r="A64" s="19"/>
      <c r="D64" s="2"/>
      <c r="G64" s="144" t="s">
        <v>200</v>
      </c>
      <c r="H64" s="9"/>
    </row>
    <row r="65" spans="1:8" ht="15">
      <c r="A65" s="19"/>
      <c r="G65" s="9"/>
      <c r="H65" s="9"/>
    </row>
    <row r="66" spans="1:9" ht="15.75">
      <c r="A66" s="20" t="s">
        <v>68</v>
      </c>
      <c r="C66" s="7" t="s">
        <v>215</v>
      </c>
      <c r="F66" s="9" t="s">
        <v>69</v>
      </c>
      <c r="G66" s="9"/>
      <c r="H66" s="9"/>
      <c r="I66" s="9" t="s">
        <v>69</v>
      </c>
    </row>
    <row r="67" spans="1:8" ht="15">
      <c r="A67" s="21"/>
      <c r="G67" s="9"/>
      <c r="H67" s="9"/>
    </row>
    <row r="68" spans="1:8" ht="15">
      <c r="A68" s="21"/>
      <c r="G68" s="9"/>
      <c r="H68" s="9"/>
    </row>
    <row r="69" spans="1:8" ht="15">
      <c r="A69" s="21"/>
      <c r="G69" s="9"/>
      <c r="H69" s="9"/>
    </row>
    <row r="70" spans="1:9" ht="15">
      <c r="A70" s="21" t="s">
        <v>70</v>
      </c>
      <c r="C70" s="7">
        <f>-'[8]Sheet1'!$N$15</f>
        <v>3060768401.6</v>
      </c>
      <c r="D70" s="7">
        <v>3060768.4016</v>
      </c>
      <c r="F70" s="9">
        <v>4348747343.049999</v>
      </c>
      <c r="G70" s="9">
        <v>1909431.3920299998</v>
      </c>
      <c r="H70" s="9"/>
      <c r="I70" s="9">
        <v>1909431392.0299997</v>
      </c>
    </row>
    <row r="71" spans="1:9" ht="15">
      <c r="A71" s="21" t="s">
        <v>71</v>
      </c>
      <c r="C71" s="7">
        <f>'[8]Sheet1'!$N$18</f>
        <v>1578573968.42</v>
      </c>
      <c r="D71" s="7">
        <v>1578573.96842</v>
      </c>
      <c r="F71" s="9">
        <v>2265901226.017298</v>
      </c>
      <c r="G71" s="9">
        <v>978998.2580630787</v>
      </c>
      <c r="H71" s="9"/>
      <c r="I71" s="9">
        <v>978998258.0630788</v>
      </c>
    </row>
    <row r="72" spans="1:8" ht="15">
      <c r="A72" s="21"/>
      <c r="D72" s="7">
        <v>0</v>
      </c>
      <c r="G72" s="9">
        <v>0</v>
      </c>
      <c r="H72" s="9"/>
    </row>
    <row r="73" spans="1:13" ht="15">
      <c r="A73" s="21" t="s">
        <v>72</v>
      </c>
      <c r="C73" s="7">
        <f>C70-C71</f>
        <v>1482194433.1799998</v>
      </c>
      <c r="D73" s="7">
        <v>1482194.43318</v>
      </c>
      <c r="F73" s="9">
        <f>F70-F71</f>
        <v>2082846117.032701</v>
      </c>
      <c r="G73" s="9">
        <v>930433.133966921</v>
      </c>
      <c r="H73" s="9"/>
      <c r="I73" s="9">
        <v>930433133.966921</v>
      </c>
      <c r="J73" s="22">
        <f>C73/C70</f>
        <v>0.48425566351416555</v>
      </c>
      <c r="M73" s="22">
        <f>G73/G70</f>
        <v>0.48728283082103147</v>
      </c>
    </row>
    <row r="74" spans="1:8" ht="15">
      <c r="A74" s="21"/>
      <c r="D74" s="7">
        <v>0</v>
      </c>
      <c r="G74" s="9">
        <v>0</v>
      </c>
      <c r="H74" s="9"/>
    </row>
    <row r="75" spans="1:9" ht="15">
      <c r="A75" s="21" t="s">
        <v>73</v>
      </c>
      <c r="C75" s="7">
        <f>-'[8]Sheet1'!$N$16</f>
        <v>60028589.62</v>
      </c>
      <c r="D75" s="7">
        <v>60028.58962</v>
      </c>
      <c r="F75" s="9">
        <v>30984893.680000003</v>
      </c>
      <c r="G75" s="9">
        <v>30465.743680000003</v>
      </c>
      <c r="H75" s="9"/>
      <c r="I75" s="9">
        <v>30465743.680000003</v>
      </c>
    </row>
    <row r="76" spans="1:9" ht="15">
      <c r="A76" s="21" t="s">
        <v>74</v>
      </c>
      <c r="C76" s="7">
        <f>'[8]Sheet1'!$N$19</f>
        <v>0</v>
      </c>
      <c r="D76" s="7">
        <v>0</v>
      </c>
      <c r="F76" s="9">
        <v>0</v>
      </c>
      <c r="G76" s="9">
        <v>0</v>
      </c>
      <c r="H76" s="9"/>
      <c r="I76" s="9">
        <v>0</v>
      </c>
    </row>
    <row r="77" spans="1:13" ht="15">
      <c r="A77" s="21" t="s">
        <v>75</v>
      </c>
      <c r="C77" s="7">
        <f>'[8]Sheet1'!$N$21</f>
        <v>898410300.8199999</v>
      </c>
      <c r="D77" s="7">
        <v>898410.3008199999</v>
      </c>
      <c r="F77" s="9">
        <v>1221619275.5866346</v>
      </c>
      <c r="G77" s="9">
        <v>546127.5177205405</v>
      </c>
      <c r="H77" s="9"/>
      <c r="I77" s="9">
        <v>546127517.7205405</v>
      </c>
      <c r="J77" s="23">
        <f>C77/C70</f>
        <v>0.2935244301236124</v>
      </c>
      <c r="M77" s="23">
        <f>G77/G70</f>
        <v>0.28601578459434907</v>
      </c>
    </row>
    <row r="78" spans="1:13" ht="15">
      <c r="A78" s="21" t="s">
        <v>76</v>
      </c>
      <c r="C78" s="7">
        <f>'[8]Sheet1'!$N$22</f>
        <v>191257210.88845602</v>
      </c>
      <c r="D78" s="7">
        <v>191257.21088845603</v>
      </c>
      <c r="F78" s="9">
        <v>282357255.0428351</v>
      </c>
      <c r="G78" s="9">
        <v>148159.74648305628</v>
      </c>
      <c r="H78" s="9"/>
      <c r="I78" s="9">
        <v>148159746.48305628</v>
      </c>
      <c r="J78" s="23">
        <f>C78/C70</f>
        <v>0.06248666537085176</v>
      </c>
      <c r="M78" s="23">
        <f>G78/G70</f>
        <v>0.07759364756517446</v>
      </c>
    </row>
    <row r="79" spans="1:9" ht="14.25">
      <c r="A79" s="24" t="s">
        <v>216</v>
      </c>
      <c r="D79" s="7">
        <v>0</v>
      </c>
      <c r="F79" s="9">
        <v>0</v>
      </c>
      <c r="G79" s="9">
        <v>0</v>
      </c>
      <c r="H79" s="9"/>
      <c r="I79" s="9">
        <v>0</v>
      </c>
    </row>
    <row r="80" spans="1:8" ht="15">
      <c r="A80" s="21" t="s">
        <v>77</v>
      </c>
      <c r="D80" s="7">
        <v>0</v>
      </c>
      <c r="G80" s="9">
        <v>0</v>
      </c>
      <c r="H80" s="9"/>
    </row>
    <row r="81" spans="1:8" ht="15">
      <c r="A81" s="21" t="s">
        <v>78</v>
      </c>
      <c r="D81" s="7">
        <v>0</v>
      </c>
      <c r="G81" s="9">
        <v>0</v>
      </c>
      <c r="H81" s="9"/>
    </row>
    <row r="82" spans="1:8" ht="15">
      <c r="A82" s="21" t="s">
        <v>79</v>
      </c>
      <c r="D82" s="7">
        <v>0</v>
      </c>
      <c r="G82" s="9">
        <v>0</v>
      </c>
      <c r="H82" s="9"/>
    </row>
    <row r="83" spans="1:9" ht="15">
      <c r="A83" s="21" t="s">
        <v>80</v>
      </c>
      <c r="C83" s="7">
        <f>'[8]Sheet1'!$N$23</f>
        <v>5375088.211544</v>
      </c>
      <c r="D83" s="7">
        <v>5375.088561544</v>
      </c>
      <c r="F83" s="9">
        <v>-8676769.279137552</v>
      </c>
      <c r="G83" s="9">
        <v>71.58434954089392</v>
      </c>
      <c r="H83" s="9"/>
      <c r="I83" s="9">
        <v>71584.34954089392</v>
      </c>
    </row>
    <row r="84" spans="1:9" ht="15">
      <c r="A84" s="21" t="s">
        <v>81</v>
      </c>
      <c r="C84" s="7">
        <f>C73+C75-C76-C77-C78-C79-C83</f>
        <v>447180422.8799998</v>
      </c>
      <c r="D84" s="7">
        <v>447180.4225299998</v>
      </c>
      <c r="F84" s="9">
        <f>F73+F75-F76-F77-F78-F79-F83</f>
        <v>618531249.3623688</v>
      </c>
      <c r="G84" s="9">
        <v>266540.02909378323</v>
      </c>
      <c r="H84" s="9"/>
      <c r="I84" s="9">
        <v>266540029.09378323</v>
      </c>
    </row>
    <row r="85" spans="1:13" ht="15">
      <c r="A85" s="21" t="s">
        <v>82</v>
      </c>
      <c r="C85" s="7">
        <f>'[8]Sheet1'!$N$32</f>
        <v>113448706.59</v>
      </c>
      <c r="D85" s="7">
        <v>113448.70659</v>
      </c>
      <c r="F85" s="9">
        <v>144535067.6793916</v>
      </c>
      <c r="G85" s="9">
        <v>67875.965510844</v>
      </c>
      <c r="H85" s="9"/>
      <c r="I85" s="9">
        <v>67875965.510844</v>
      </c>
      <c r="J85" s="22">
        <f>C85/C84</f>
        <v>0.25369783824468495</v>
      </c>
      <c r="M85" s="22">
        <f>G85/G84</f>
        <v>0.2546558043893721</v>
      </c>
    </row>
    <row r="86" spans="1:8" ht="15">
      <c r="A86" s="21"/>
      <c r="D86" s="7">
        <v>0</v>
      </c>
      <c r="G86" s="9">
        <v>0</v>
      </c>
      <c r="H86" s="9"/>
    </row>
    <row r="87" spans="1:9" ht="15">
      <c r="A87" s="21" t="s">
        <v>83</v>
      </c>
      <c r="C87" s="7">
        <f>C84-C85</f>
        <v>333731716.28999984</v>
      </c>
      <c r="D87" s="7">
        <v>333731.7159399998</v>
      </c>
      <c r="F87" s="9">
        <f>F84-F85</f>
        <v>473996181.6829772</v>
      </c>
      <c r="G87" s="9">
        <v>198664.0635829392</v>
      </c>
      <c r="H87" s="9"/>
      <c r="I87" s="9">
        <v>198664063.5829392</v>
      </c>
    </row>
    <row r="88" spans="1:9" ht="15">
      <c r="A88" s="21" t="s">
        <v>52</v>
      </c>
      <c r="D88" s="7">
        <v>0</v>
      </c>
      <c r="F88" s="9">
        <v>390586.75</v>
      </c>
      <c r="G88" s="9">
        <v>390.58675</v>
      </c>
      <c r="H88" s="9"/>
      <c r="I88" s="9">
        <v>390586.75</v>
      </c>
    </row>
    <row r="89" spans="1:8" ht="15">
      <c r="A89" s="21"/>
      <c r="D89" s="7">
        <v>0</v>
      </c>
      <c r="G89" s="9">
        <v>0</v>
      </c>
      <c r="H89" s="9"/>
    </row>
    <row r="90" spans="1:14" ht="15">
      <c r="A90" s="21" t="s">
        <v>84</v>
      </c>
      <c r="C90" s="7">
        <f>C87-C88</f>
        <v>333731716.28999984</v>
      </c>
      <c r="D90" s="7">
        <v>333731.7159399998</v>
      </c>
      <c r="F90" s="9">
        <f>F87-F88</f>
        <v>473605594.9329772</v>
      </c>
      <c r="G90" s="9">
        <v>198273.4768329392</v>
      </c>
      <c r="H90" s="9"/>
      <c r="I90" s="9">
        <v>198273476.8329392</v>
      </c>
      <c r="J90" s="22">
        <f>C90/C70</f>
        <v>0.10903527235694913</v>
      </c>
      <c r="M90" s="22">
        <f>G90/G70</f>
        <v>0.10383901598168763</v>
      </c>
      <c r="N90" s="140"/>
    </row>
    <row r="91" ht="14.25">
      <c r="G91" s="9"/>
    </row>
    <row r="93" spans="1:9" s="25" customFormat="1" ht="14.25">
      <c r="A93" s="25" t="s">
        <v>217</v>
      </c>
      <c r="C93" s="7">
        <f>C62-C26</f>
        <v>0</v>
      </c>
      <c r="D93" s="7">
        <v>0</v>
      </c>
      <c r="E93" s="26"/>
      <c r="F93" s="9">
        <v>0</v>
      </c>
      <c r="G93" s="12">
        <v>0</v>
      </c>
      <c r="H93" s="9"/>
      <c r="I93" s="9">
        <v>0</v>
      </c>
    </row>
    <row r="94" spans="3:4" ht="14.25">
      <c r="C94" s="141">
        <f>C85/C84</f>
        <v>0.25369783824468495</v>
      </c>
      <c r="D94" s="141"/>
    </row>
    <row r="96" ht="14.25">
      <c r="D96" s="27"/>
    </row>
  </sheetData>
  <printOptions/>
  <pageMargins left="0.75" right="0.75" top="1" bottom="1" header="0.5" footer="0.5"/>
  <pageSetup fitToHeight="2" horizontalDpi="600" verticalDpi="600" orientation="portrait" paperSize="9" scale="78" r:id="rId3"/>
  <rowBreaks count="1" manualBreakCount="1">
    <brk id="38" max="1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indexed="13"/>
  </sheetPr>
  <dimension ref="A1:G31"/>
  <sheetViews>
    <sheetView workbookViewId="0" topLeftCell="A13">
      <selection activeCell="X5" sqref="X1:X16384"/>
    </sheetView>
  </sheetViews>
  <sheetFormatPr defaultColWidth="9.140625" defaultRowHeight="12.75"/>
  <cols>
    <col min="3" max="3" width="22.7109375" style="0" customWidth="1"/>
    <col min="5" max="5" width="25.140625" style="0" customWidth="1"/>
    <col min="6" max="6" width="14.8515625" style="145" hidden="1" customWidth="1"/>
    <col min="7" max="7" width="14.140625" style="0" hidden="1" customWidth="1"/>
  </cols>
  <sheetData>
    <row r="1" spans="3:7" ht="12.75">
      <c r="C1" t="s">
        <v>162</v>
      </c>
      <c r="E1" t="s">
        <v>163</v>
      </c>
      <c r="F1" s="35" t="s">
        <v>29</v>
      </c>
      <c r="G1" s="147" t="s">
        <v>232</v>
      </c>
    </row>
    <row r="2" spans="1:7" ht="12.75">
      <c r="A2">
        <v>1000</v>
      </c>
      <c r="B2" t="s">
        <v>164</v>
      </c>
      <c r="C2" s="132">
        <v>81537794.1</v>
      </c>
      <c r="D2">
        <v>1000</v>
      </c>
      <c r="E2" s="132">
        <v>77688522.3</v>
      </c>
      <c r="F2" s="145">
        <f>'[18]xinxi'!$B$3</f>
        <v>81541850.30999996</v>
      </c>
      <c r="G2" s="124">
        <f>C2-F2</f>
        <v>-4056.209999963641</v>
      </c>
    </row>
    <row r="3" spans="1:7" ht="12.75">
      <c r="A3">
        <v>2000</v>
      </c>
      <c r="B3" t="s">
        <v>165</v>
      </c>
      <c r="C3" s="132">
        <v>3581562.51</v>
      </c>
      <c r="D3">
        <v>2000</v>
      </c>
      <c r="E3" s="132">
        <v>86982017.8</v>
      </c>
      <c r="G3" s="124"/>
    </row>
    <row r="4" spans="1:7" ht="12.75">
      <c r="A4">
        <v>5000</v>
      </c>
      <c r="B4" t="s">
        <v>166</v>
      </c>
      <c r="C4" s="132">
        <v>-91509.23</v>
      </c>
      <c r="D4">
        <v>5000</v>
      </c>
      <c r="E4" s="132">
        <v>1364135396.58</v>
      </c>
      <c r="G4" s="124"/>
    </row>
    <row r="5" spans="1:7" ht="12.75">
      <c r="A5">
        <v>7000</v>
      </c>
      <c r="B5" t="s">
        <v>167</v>
      </c>
      <c r="C5" s="132">
        <v>0</v>
      </c>
      <c r="D5">
        <v>7000</v>
      </c>
      <c r="E5" s="132">
        <v>42575885.03</v>
      </c>
      <c r="G5" s="124"/>
    </row>
    <row r="6" spans="1:7" s="139" customFormat="1" ht="12.75">
      <c r="A6" s="139">
        <v>8101</v>
      </c>
      <c r="B6" s="139" t="s">
        <v>168</v>
      </c>
      <c r="C6" s="132">
        <v>121551170.04</v>
      </c>
      <c r="D6" s="139">
        <v>8101</v>
      </c>
      <c r="E6" s="132">
        <v>121594713.65</v>
      </c>
      <c r="F6" s="146"/>
      <c r="G6" s="124"/>
    </row>
    <row r="7" spans="1:7" s="139" customFormat="1" ht="12.75">
      <c r="A7" s="139">
        <v>8102</v>
      </c>
      <c r="B7" s="139" t="s">
        <v>169</v>
      </c>
      <c r="C7" s="132">
        <v>58232005.25</v>
      </c>
      <c r="D7" s="139">
        <v>8102</v>
      </c>
      <c r="E7" s="132">
        <v>58268091.24</v>
      </c>
      <c r="F7" s="146"/>
      <c r="G7" s="124"/>
    </row>
    <row r="8" spans="1:7" s="139" customFormat="1" ht="12.75">
      <c r="A8" s="139">
        <v>8201</v>
      </c>
      <c r="B8" s="139" t="s">
        <v>170</v>
      </c>
      <c r="C8" s="132">
        <v>75603460.93</v>
      </c>
      <c r="D8" s="139">
        <v>8201</v>
      </c>
      <c r="E8" s="132">
        <v>75630907.15</v>
      </c>
      <c r="F8" s="146"/>
      <c r="G8" s="124"/>
    </row>
    <row r="9" spans="1:7" s="139" customFormat="1" ht="12.75">
      <c r="A9" s="139">
        <v>8202</v>
      </c>
      <c r="B9" s="139" t="s">
        <v>171</v>
      </c>
      <c r="C9" s="132">
        <v>35658498.23</v>
      </c>
      <c r="D9" s="139">
        <v>8202</v>
      </c>
      <c r="E9" s="132">
        <v>35659411.19</v>
      </c>
      <c r="F9" s="146"/>
      <c r="G9" s="124"/>
    </row>
    <row r="10" spans="1:7" s="139" customFormat="1" ht="12.75">
      <c r="A10" s="139">
        <v>8203</v>
      </c>
      <c r="B10" s="139" t="s">
        <v>172</v>
      </c>
      <c r="C10" s="132">
        <v>13738354.88</v>
      </c>
      <c r="D10" s="139">
        <v>8203</v>
      </c>
      <c r="E10" s="132">
        <v>13738354.88</v>
      </c>
      <c r="F10" s="146"/>
      <c r="G10" s="124"/>
    </row>
    <row r="11" spans="1:7" s="139" customFormat="1" ht="12.75">
      <c r="A11" s="139">
        <v>8204</v>
      </c>
      <c r="B11" s="139" t="s">
        <v>173</v>
      </c>
      <c r="C11" s="132">
        <v>46720200.73</v>
      </c>
      <c r="D11" s="139">
        <v>8204</v>
      </c>
      <c r="E11" s="132">
        <v>48401054.1</v>
      </c>
      <c r="F11" s="146"/>
      <c r="G11" s="124"/>
    </row>
    <row r="12" spans="1:7" s="139" customFormat="1" ht="12.75">
      <c r="A12" s="139">
        <v>8205</v>
      </c>
      <c r="B12" s="139" t="s">
        <v>174</v>
      </c>
      <c r="C12" s="132">
        <v>27162801.42</v>
      </c>
      <c r="D12" s="139">
        <v>8205</v>
      </c>
      <c r="E12" s="132">
        <v>27163672.5</v>
      </c>
      <c r="F12" s="146"/>
      <c r="G12" s="124"/>
    </row>
    <row r="13" spans="1:7" s="139" customFormat="1" ht="12.75">
      <c r="A13" s="139">
        <v>8206</v>
      </c>
      <c r="B13" s="139" t="s">
        <v>88</v>
      </c>
      <c r="C13" s="132">
        <v>30140862.14</v>
      </c>
      <c r="D13" s="139">
        <v>8206</v>
      </c>
      <c r="E13" s="132">
        <v>30148781.09</v>
      </c>
      <c r="F13" s="146"/>
      <c r="G13" s="124"/>
    </row>
    <row r="14" spans="1:7" s="139" customFormat="1" ht="12.75">
      <c r="A14" s="139">
        <v>8207</v>
      </c>
      <c r="B14" s="139" t="s">
        <v>175</v>
      </c>
      <c r="C14" s="132">
        <v>5714675.61</v>
      </c>
      <c r="D14" s="139">
        <v>8207</v>
      </c>
      <c r="E14" s="132">
        <v>6239414.01</v>
      </c>
      <c r="F14" s="146"/>
      <c r="G14" s="124"/>
    </row>
    <row r="15" spans="1:7" s="139" customFormat="1" ht="12.75">
      <c r="A15" s="139">
        <v>8208</v>
      </c>
      <c r="B15" s="139" t="s">
        <v>176</v>
      </c>
      <c r="C15" s="132">
        <v>14917345.85</v>
      </c>
      <c r="D15" s="139">
        <v>8208</v>
      </c>
      <c r="E15" s="132">
        <v>15762383.94</v>
      </c>
      <c r="F15" s="146"/>
      <c r="G15" s="124"/>
    </row>
    <row r="16" spans="1:7" s="139" customFormat="1" ht="12.75">
      <c r="A16" s="139">
        <v>8210</v>
      </c>
      <c r="B16" s="139" t="s">
        <v>87</v>
      </c>
      <c r="C16" s="132">
        <v>5707299.2</v>
      </c>
      <c r="D16" s="139">
        <v>8210</v>
      </c>
      <c r="E16" s="132">
        <v>7371768.96</v>
      </c>
      <c r="F16" s="146"/>
      <c r="G16" s="124"/>
    </row>
    <row r="17" spans="1:7" s="139" customFormat="1" ht="12.75">
      <c r="A17" s="139">
        <v>8301</v>
      </c>
      <c r="B17" s="139" t="s">
        <v>177</v>
      </c>
      <c r="C17" s="132">
        <v>58740916.83</v>
      </c>
      <c r="D17" s="139">
        <v>8301</v>
      </c>
      <c r="E17" s="132">
        <v>58807906.99</v>
      </c>
      <c r="F17" s="146"/>
      <c r="G17" s="124"/>
    </row>
    <row r="18" spans="1:7" s="139" customFormat="1" ht="12.75">
      <c r="A18" s="139">
        <v>8302</v>
      </c>
      <c r="B18" s="139" t="s">
        <v>178</v>
      </c>
      <c r="C18" s="132">
        <v>53024419.61</v>
      </c>
      <c r="D18" s="139">
        <v>8302</v>
      </c>
      <c r="E18" s="132">
        <v>57046427.8</v>
      </c>
      <c r="F18" s="146"/>
      <c r="G18" s="124"/>
    </row>
    <row r="19" spans="1:7" s="139" customFormat="1" ht="12.75">
      <c r="A19" s="139">
        <v>8303</v>
      </c>
      <c r="B19" s="139" t="s">
        <v>179</v>
      </c>
      <c r="C19" s="132">
        <v>27913074.77</v>
      </c>
      <c r="D19" s="139">
        <v>8303</v>
      </c>
      <c r="E19" s="132">
        <v>27932201.85</v>
      </c>
      <c r="F19" s="146"/>
      <c r="G19" s="124"/>
    </row>
    <row r="20" spans="1:7" s="139" customFormat="1" ht="12.75">
      <c r="A20" s="139">
        <v>8304</v>
      </c>
      <c r="B20" s="139" t="s">
        <v>180</v>
      </c>
      <c r="C20" s="132">
        <v>73531899.44</v>
      </c>
      <c r="D20" s="139">
        <v>8304</v>
      </c>
      <c r="E20" s="132">
        <v>74022068.63</v>
      </c>
      <c r="F20" s="146"/>
      <c r="G20" s="124"/>
    </row>
    <row r="21" spans="1:7" s="139" customFormat="1" ht="12.75">
      <c r="A21" s="139">
        <v>8305</v>
      </c>
      <c r="B21" s="139" t="s">
        <v>181</v>
      </c>
      <c r="C21" s="132">
        <v>39609833.62</v>
      </c>
      <c r="D21" s="139">
        <v>8305</v>
      </c>
      <c r="E21" s="132">
        <v>39625295.68</v>
      </c>
      <c r="F21" s="146"/>
      <c r="G21" s="124"/>
    </row>
    <row r="22" spans="1:7" s="139" customFormat="1" ht="12.75">
      <c r="A22" s="139">
        <v>8306</v>
      </c>
      <c r="B22" s="139" t="s">
        <v>182</v>
      </c>
      <c r="C22" s="132">
        <v>5803477.43</v>
      </c>
      <c r="D22" s="139">
        <v>8306</v>
      </c>
      <c r="E22" s="132">
        <v>5803477.43</v>
      </c>
      <c r="F22" s="146"/>
      <c r="G22" s="124"/>
    </row>
    <row r="23" spans="1:7" s="139" customFormat="1" ht="12.75">
      <c r="A23" s="139">
        <v>8307</v>
      </c>
      <c r="B23" s="139" t="s">
        <v>183</v>
      </c>
      <c r="C23" s="132">
        <v>3543748.29</v>
      </c>
      <c r="D23" s="139">
        <v>8307</v>
      </c>
      <c r="E23" s="132">
        <v>3548027.84</v>
      </c>
      <c r="F23" s="146"/>
      <c r="G23" s="124"/>
    </row>
    <row r="24" spans="1:7" ht="12.75">
      <c r="A24">
        <v>9001</v>
      </c>
      <c r="B24" t="s">
        <v>184</v>
      </c>
      <c r="C24" s="132">
        <v>0</v>
      </c>
      <c r="D24">
        <v>9001</v>
      </c>
      <c r="E24" s="132">
        <v>1595054.08</v>
      </c>
      <c r="G24" s="124"/>
    </row>
    <row r="25" spans="1:7" ht="12.75">
      <c r="A25">
        <v>9004</v>
      </c>
      <c r="B25" t="s">
        <v>185</v>
      </c>
      <c r="C25" s="132">
        <v>0</v>
      </c>
      <c r="D25">
        <v>9004</v>
      </c>
      <c r="E25" s="132">
        <v>484400</v>
      </c>
      <c r="G25" s="124">
        <f>C25-F25</f>
        <v>0</v>
      </c>
    </row>
    <row r="26" spans="1:7" ht="12.75">
      <c r="A26">
        <v>9005</v>
      </c>
      <c r="B26" t="s">
        <v>86</v>
      </c>
      <c r="C26" s="132">
        <v>345577551.04</v>
      </c>
      <c r="D26">
        <v>9005</v>
      </c>
      <c r="E26" s="132">
        <v>2756186655.22</v>
      </c>
      <c r="F26" s="145">
        <f>'[18]xinxi'!$B$4</f>
        <v>345577551.0699997</v>
      </c>
      <c r="G26" s="124">
        <f>C26-F26</f>
        <v>-0.02999967336654663</v>
      </c>
    </row>
    <row r="27" spans="1:7" ht="12.75">
      <c r="A27">
        <v>9007</v>
      </c>
      <c r="B27" t="s">
        <v>186</v>
      </c>
      <c r="C27" s="132">
        <v>8054078.84</v>
      </c>
      <c r="D27">
        <v>9007</v>
      </c>
      <c r="E27" s="132">
        <v>8054078.84</v>
      </c>
      <c r="G27" s="124"/>
    </row>
    <row r="28" spans="1:7" ht="12.75">
      <c r="A28">
        <v>9008</v>
      </c>
      <c r="B28" t="s">
        <v>187</v>
      </c>
      <c r="C28" s="132">
        <v>3071062034.06</v>
      </c>
      <c r="D28">
        <v>9008</v>
      </c>
      <c r="E28" s="132">
        <v>3524848848.08</v>
      </c>
      <c r="F28" s="145">
        <f>'[18]xinxi'!$B$5</f>
        <v>3068858017.0499964</v>
      </c>
      <c r="G28" s="124">
        <f>C28-F28</f>
        <v>2204017.0100035667</v>
      </c>
    </row>
    <row r="29" spans="1:7" ht="12.75">
      <c r="A29">
        <v>9010</v>
      </c>
      <c r="B29" t="s">
        <v>188</v>
      </c>
      <c r="C29" s="132">
        <v>48822042.68</v>
      </c>
      <c r="D29">
        <v>9010</v>
      </c>
      <c r="E29" s="132">
        <v>48822042.68</v>
      </c>
      <c r="F29" s="145">
        <f>'[18]xinxi'!$B$6</f>
        <v>48736028.149999954</v>
      </c>
      <c r="G29" s="124">
        <f>C29-F29</f>
        <v>86014.5300000459</v>
      </c>
    </row>
    <row r="30" spans="3:7" ht="12.75">
      <c r="C30" s="132">
        <f>SUM(C2:C29)</f>
        <v>4255857598.27</v>
      </c>
      <c r="E30" s="132">
        <f>SUM(E2:E29)</f>
        <v>8618136859.539999</v>
      </c>
      <c r="G30" s="124">
        <f>SUM(G2:G29)</f>
        <v>2285975.3000039756</v>
      </c>
    </row>
    <row r="31" spans="1:3" ht="12.75">
      <c r="A31" t="s">
        <v>85</v>
      </c>
      <c r="C31" s="134" t="e">
        <f>C30-#REF!</f>
        <v>#REF!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F25"/>
  <sheetViews>
    <sheetView workbookViewId="0" topLeftCell="A1">
      <selection activeCell="X5" sqref="X1:X16384"/>
    </sheetView>
  </sheetViews>
  <sheetFormatPr defaultColWidth="9.140625" defaultRowHeight="12.75"/>
  <cols>
    <col min="2" max="2" width="14.8515625" style="0" customWidth="1"/>
    <col min="3" max="3" width="16.28125" style="0" customWidth="1"/>
    <col min="6" max="6" width="14.7109375" style="0" customWidth="1"/>
  </cols>
  <sheetData>
    <row r="1" spans="1:6" ht="12.75">
      <c r="A1">
        <v>1000</v>
      </c>
      <c r="B1" s="32" t="s">
        <v>30</v>
      </c>
      <c r="C1" s="132">
        <v>4776969.86</v>
      </c>
      <c r="F1" s="132"/>
    </row>
    <row r="2" spans="1:6" ht="12.75">
      <c r="A2">
        <v>2000</v>
      </c>
      <c r="B2" t="s">
        <v>165</v>
      </c>
      <c r="C2" s="132">
        <v>553333.63</v>
      </c>
      <c r="F2" s="132"/>
    </row>
    <row r="3" spans="1:6" ht="12.75">
      <c r="A3">
        <v>5000</v>
      </c>
      <c r="B3" t="s">
        <v>166</v>
      </c>
      <c r="C3" s="132">
        <v>5412012.64</v>
      </c>
      <c r="F3" s="132"/>
    </row>
    <row r="4" spans="1:6" ht="12.75">
      <c r="A4">
        <v>8101</v>
      </c>
      <c r="B4" t="s">
        <v>168</v>
      </c>
      <c r="C4" s="132">
        <v>510863.49</v>
      </c>
      <c r="F4" s="132"/>
    </row>
    <row r="5" spans="1:6" ht="12.75">
      <c r="A5">
        <v>8102</v>
      </c>
      <c r="B5" t="s">
        <v>169</v>
      </c>
      <c r="C5" s="132">
        <v>584044.42</v>
      </c>
      <c r="F5" s="132"/>
    </row>
    <row r="6" spans="1:6" ht="12.75">
      <c r="A6">
        <v>8201</v>
      </c>
      <c r="B6" t="s">
        <v>170</v>
      </c>
      <c r="C6" s="132">
        <v>279492.71</v>
      </c>
      <c r="F6" s="132"/>
    </row>
    <row r="7" spans="1:6" ht="12.75">
      <c r="A7">
        <v>8202</v>
      </c>
      <c r="B7" t="s">
        <v>171</v>
      </c>
      <c r="C7" s="132">
        <v>51563.52</v>
      </c>
      <c r="F7" s="132"/>
    </row>
    <row r="8" spans="1:6" ht="12.75">
      <c r="A8">
        <v>8203</v>
      </c>
      <c r="B8" t="s">
        <v>172</v>
      </c>
      <c r="C8" s="132">
        <v>124282.57</v>
      </c>
      <c r="F8" s="132"/>
    </row>
    <row r="9" spans="1:6" ht="12.75">
      <c r="A9">
        <v>8204</v>
      </c>
      <c r="B9" t="s">
        <v>173</v>
      </c>
      <c r="C9" s="132">
        <v>192601.81</v>
      </c>
      <c r="F9" s="132"/>
    </row>
    <row r="10" spans="1:6" ht="12.75">
      <c r="A10">
        <v>8205</v>
      </c>
      <c r="B10" t="s">
        <v>174</v>
      </c>
      <c r="C10" s="132">
        <v>210695.84</v>
      </c>
      <c r="F10" s="132"/>
    </row>
    <row r="11" spans="1:6" ht="12.75">
      <c r="A11">
        <v>8206</v>
      </c>
      <c r="B11" t="s">
        <v>88</v>
      </c>
      <c r="C11" s="132">
        <v>96263.88</v>
      </c>
      <c r="F11" s="132"/>
    </row>
    <row r="12" spans="1:6" ht="12.75">
      <c r="A12">
        <v>8207</v>
      </c>
      <c r="B12" t="s">
        <v>175</v>
      </c>
      <c r="C12" s="132">
        <v>6852.95</v>
      </c>
      <c r="F12" s="132"/>
    </row>
    <row r="13" spans="1:6" ht="12.75">
      <c r="A13">
        <v>8208</v>
      </c>
      <c r="B13" t="s">
        <v>176</v>
      </c>
      <c r="C13" s="132">
        <v>16764.91</v>
      </c>
      <c r="F13" s="132"/>
    </row>
    <row r="14" spans="1:6" ht="12.75">
      <c r="A14">
        <v>8301</v>
      </c>
      <c r="B14" t="s">
        <v>177</v>
      </c>
      <c r="C14" s="132">
        <v>286267.33</v>
      </c>
      <c r="F14" s="132"/>
    </row>
    <row r="15" spans="1:6" ht="12.75">
      <c r="A15">
        <v>8302</v>
      </c>
      <c r="B15" t="s">
        <v>178</v>
      </c>
      <c r="C15" s="132">
        <v>201146.32</v>
      </c>
      <c r="F15" s="132"/>
    </row>
    <row r="16" spans="1:6" ht="12.75">
      <c r="A16">
        <v>8303</v>
      </c>
      <c r="B16" t="s">
        <v>179</v>
      </c>
      <c r="C16" s="132">
        <v>163328.44</v>
      </c>
      <c r="F16" s="132"/>
    </row>
    <row r="17" spans="1:6" ht="12.75">
      <c r="A17">
        <v>8304</v>
      </c>
      <c r="B17" t="s">
        <v>180</v>
      </c>
      <c r="C17" s="132">
        <v>414731.73</v>
      </c>
      <c r="F17" s="132"/>
    </row>
    <row r="18" spans="1:6" ht="12.75">
      <c r="A18">
        <v>8305</v>
      </c>
      <c r="B18" t="s">
        <v>181</v>
      </c>
      <c r="C18" s="132">
        <v>285405.46</v>
      </c>
      <c r="F18" s="132"/>
    </row>
    <row r="19" spans="1:6" ht="12.75">
      <c r="A19">
        <v>8306</v>
      </c>
      <c r="B19" t="s">
        <v>182</v>
      </c>
      <c r="C19" s="132">
        <v>18573.96</v>
      </c>
      <c r="F19" s="132"/>
    </row>
    <row r="20" spans="1:6" ht="12.75">
      <c r="A20">
        <v>8307</v>
      </c>
      <c r="B20" s="32" t="s">
        <v>192</v>
      </c>
      <c r="C20" s="132">
        <v>16720.38</v>
      </c>
      <c r="F20" s="132"/>
    </row>
    <row r="21" spans="1:6" ht="12.75">
      <c r="A21">
        <v>9000</v>
      </c>
      <c r="B21" t="s">
        <v>90</v>
      </c>
      <c r="C21" s="132">
        <v>11830205.73</v>
      </c>
      <c r="F21" s="132"/>
    </row>
    <row r="22" spans="1:6" ht="12.75">
      <c r="A22">
        <v>9004</v>
      </c>
      <c r="B22" t="s">
        <v>198</v>
      </c>
      <c r="C22" s="132">
        <v>26642.08</v>
      </c>
      <c r="F22" s="132"/>
    </row>
    <row r="23" spans="1:6" ht="12.75">
      <c r="A23">
        <v>9010</v>
      </c>
      <c r="B23" t="s">
        <v>199</v>
      </c>
      <c r="C23" s="132">
        <v>144506.06</v>
      </c>
      <c r="F23" s="132"/>
    </row>
    <row r="24" spans="3:6" ht="12.75">
      <c r="C24" s="132">
        <f>SUM(C1:C23)</f>
        <v>26203269.720000003</v>
      </c>
      <c r="F24" s="132"/>
    </row>
    <row r="25" spans="2:6" ht="12.75">
      <c r="B25" t="s">
        <v>91</v>
      </c>
      <c r="C25" s="134" t="e">
        <f>C24-#REF!</f>
        <v>#REF!</v>
      </c>
      <c r="F25" s="1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5"/>
  <sheetViews>
    <sheetView workbookViewId="0" topLeftCell="A1">
      <selection activeCell="A6" sqref="A6"/>
    </sheetView>
  </sheetViews>
  <sheetFormatPr defaultColWidth="9.140625" defaultRowHeight="12.75"/>
  <sheetData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ht="12.75">
      <c r="A5" t="s">
        <v>298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20"/>
  <sheetViews>
    <sheetView showGridLines="0" workbookViewId="0" topLeftCell="A4">
      <selection activeCell="D17" sqref="D17"/>
    </sheetView>
  </sheetViews>
  <sheetFormatPr defaultColWidth="9.140625" defaultRowHeight="12.75"/>
  <cols>
    <col min="1" max="1" width="9.8515625" style="161" customWidth="1"/>
    <col min="2" max="2" width="39.140625" style="161" customWidth="1"/>
    <col min="3" max="3" width="0.5625" style="162" customWidth="1"/>
    <col min="4" max="4" width="12.421875" style="0" customWidth="1"/>
    <col min="5" max="5" width="0.2890625" style="0" customWidth="1"/>
    <col min="6" max="7" width="12.421875" style="0" customWidth="1"/>
    <col min="8" max="8" width="14.28125" style="0" customWidth="1"/>
    <col min="9" max="11" width="12.421875" style="0" customWidth="1"/>
    <col min="12" max="13" width="10.7109375" style="0" customWidth="1"/>
  </cols>
  <sheetData>
    <row r="1" ht="15.75" thickBot="1"/>
    <row r="2" spans="1:13" ht="3" customHeight="1">
      <c r="A2" s="310" t="str">
        <f>IF('[26]Language'!$J$5="CN",'[26]Language'!$I15,'[26]Language'!$B15)</f>
        <v>Item</v>
      </c>
      <c r="B2" s="311"/>
      <c r="D2" s="163"/>
      <c r="E2" s="164"/>
      <c r="F2" s="163"/>
      <c r="G2" s="163"/>
      <c r="H2" s="163"/>
      <c r="I2" s="163"/>
      <c r="J2" s="163"/>
      <c r="K2" s="163"/>
      <c r="L2" s="163"/>
      <c r="M2" s="163"/>
    </row>
    <row r="3" spans="1:13" ht="29.25" customHeight="1">
      <c r="A3" s="312"/>
      <c r="B3" s="313"/>
      <c r="C3" s="165"/>
      <c r="D3" s="166" t="s">
        <v>308</v>
      </c>
      <c r="E3" s="167"/>
      <c r="F3" s="166" t="s">
        <v>311</v>
      </c>
      <c r="G3" s="166" t="s">
        <v>312</v>
      </c>
      <c r="H3" s="166" t="s">
        <v>310</v>
      </c>
      <c r="I3" s="166" t="s">
        <v>313</v>
      </c>
      <c r="J3" s="166" t="s">
        <v>314</v>
      </c>
      <c r="K3" s="166" t="s">
        <v>315</v>
      </c>
      <c r="L3" s="166" t="s">
        <v>318</v>
      </c>
      <c r="M3" s="166" t="s">
        <v>319</v>
      </c>
    </row>
    <row r="4" spans="1:13" ht="3" customHeight="1" thickBot="1">
      <c r="A4" s="314"/>
      <c r="B4" s="315"/>
      <c r="C4" s="165"/>
      <c r="D4" s="168"/>
      <c r="E4" s="169"/>
      <c r="F4" s="168"/>
      <c r="G4" s="168"/>
      <c r="H4" s="168"/>
      <c r="I4" s="168"/>
      <c r="J4" s="168"/>
      <c r="K4" s="168"/>
      <c r="L4" s="168"/>
      <c r="M4" s="168"/>
    </row>
    <row r="5" spans="2:13" ht="3" customHeight="1" thickBot="1">
      <c r="B5" s="170"/>
      <c r="C5" s="165"/>
      <c r="D5" s="171"/>
      <c r="E5" s="172"/>
      <c r="F5" s="171"/>
      <c r="G5" s="171"/>
      <c r="H5" s="171"/>
      <c r="I5" s="171"/>
      <c r="J5" s="171"/>
      <c r="K5" s="171"/>
      <c r="L5" s="171"/>
      <c r="M5" s="171"/>
    </row>
    <row r="6" spans="1:13" ht="3" customHeight="1">
      <c r="A6" s="316" t="str">
        <f>IF('[26]Language'!$J$5="CN",'[26]Language'!$I27,'[26]Language'!$B27)</f>
        <v>Profitability index </v>
      </c>
      <c r="B6" s="173"/>
      <c r="C6" s="165"/>
      <c r="D6" s="174"/>
      <c r="E6" s="175"/>
      <c r="F6" s="174"/>
      <c r="G6" s="174"/>
      <c r="H6" s="174"/>
      <c r="I6" s="174"/>
      <c r="J6" s="174"/>
      <c r="K6" s="174"/>
      <c r="L6" s="174"/>
      <c r="M6" s="174"/>
    </row>
    <row r="7" spans="1:13" ht="23.25" customHeight="1">
      <c r="A7" s="317" t="e">
        <f>IF('[26]Language'!$J$5="CN",'[26]Language'!$I44,'[26]Language'!$B44)</f>
        <v>#REF!</v>
      </c>
      <c r="B7" s="176" t="str">
        <f>IF('[26]Language'!$J$5="CN",'[26]Language'!$I29,'[26]Language'!$B29)</f>
        <v>Turnover</v>
      </c>
      <c r="C7" s="177"/>
      <c r="D7" s="178" t="e">
        <f>'P&amp;L简表'!D7</f>
        <v>#REF!</v>
      </c>
      <c r="E7" s="179"/>
      <c r="F7" s="178">
        <f>'[30]IFRS报表'!$P$73/1000</f>
        <v>4289883.829576927</v>
      </c>
      <c r="G7" s="178" t="e">
        <f aca="true" t="shared" si="0" ref="G7:G13">D7-F7</f>
        <v>#REF!</v>
      </c>
      <c r="H7" s="178">
        <f>'[28]主表-千元版'!$C$7</f>
        <v>9478527</v>
      </c>
      <c r="I7" s="184" t="s">
        <v>316</v>
      </c>
      <c r="J7" s="178">
        <v>4504565</v>
      </c>
      <c r="K7" s="178" t="e">
        <f>D7-J7</f>
        <v>#REF!</v>
      </c>
      <c r="L7" s="178" t="s">
        <v>317</v>
      </c>
      <c r="M7" s="178"/>
    </row>
    <row r="8" spans="1:13" ht="23.25" customHeight="1">
      <c r="A8" s="317"/>
      <c r="B8" s="236" t="s">
        <v>309</v>
      </c>
      <c r="C8" s="177"/>
      <c r="D8" s="184" t="e">
        <f>D7/J7-1</f>
        <v>#REF!</v>
      </c>
      <c r="E8" s="179"/>
      <c r="F8" s="178"/>
      <c r="G8" s="178"/>
      <c r="H8" s="184">
        <f>'[28]主表-千元版'!$E$7</f>
        <v>0.13015723311684524</v>
      </c>
      <c r="I8" s="184"/>
      <c r="J8" s="184">
        <v>0.112</v>
      </c>
      <c r="K8" s="184"/>
      <c r="L8" s="184">
        <v>-0.05</v>
      </c>
      <c r="M8" s="184" t="e">
        <f>D8-L8</f>
        <v>#REF!</v>
      </c>
    </row>
    <row r="9" spans="1:13" ht="23.25" customHeight="1">
      <c r="A9" s="317" t="str">
        <f>IF('[26]Language'!$J$5="CN",'[26]Language'!$I45,'[26]Language'!$B45)</f>
        <v>Expenses &amp; Cost</v>
      </c>
      <c r="B9" s="180" t="str">
        <f>IF('[26]Language'!$J$5="CN",'[26]Language'!$I31,'[26]Language'!$B31)</f>
        <v>Gross Margin</v>
      </c>
      <c r="C9" s="181"/>
      <c r="D9" s="182" t="e">
        <f>'P&amp;L简表'!D9</f>
        <v>#REF!</v>
      </c>
      <c r="E9" s="179"/>
      <c r="F9" s="182">
        <f>'[30]IFRS报表'!$Q$76</f>
        <v>0.4722819622342517</v>
      </c>
      <c r="G9" s="182" t="e">
        <f t="shared" si="0"/>
        <v>#REF!</v>
      </c>
      <c r="H9" s="182">
        <f>'[28]主表-千元版'!$C$30</f>
        <v>0.4728159765752632</v>
      </c>
      <c r="I9" s="182" t="e">
        <f>D9-H9</f>
        <v>#REF!</v>
      </c>
      <c r="J9" s="182">
        <v>0.479</v>
      </c>
      <c r="K9" s="182" t="e">
        <f>D9-J9</f>
        <v>#REF!</v>
      </c>
      <c r="L9" s="182">
        <v>0.469</v>
      </c>
      <c r="M9" s="182" t="e">
        <f>D9-L9</f>
        <v>#REF!</v>
      </c>
    </row>
    <row r="10" spans="1:13" ht="23.25" customHeight="1">
      <c r="A10" s="317" t="str">
        <f>IF('[26]Language'!$J$5="CN",'[26]Language'!$I46,'[26]Language'!$B46)</f>
        <v>HR expense</v>
      </c>
      <c r="B10" s="180" t="s">
        <v>304</v>
      </c>
      <c r="C10" s="181"/>
      <c r="D10" s="182">
        <f>'[29]主表-千元版'!$C$32</f>
        <v>0.387</v>
      </c>
      <c r="E10" s="179"/>
      <c r="F10" s="182">
        <f>'[30]IFRS报表'!$Q$80</f>
        <v>0.3886109921844583</v>
      </c>
      <c r="G10" s="182">
        <f t="shared" si="0"/>
        <v>-0.0016109921844583153</v>
      </c>
      <c r="H10" s="182">
        <f>'[28]主表-千元版'!$C$31</f>
        <v>0.3301625874990914</v>
      </c>
      <c r="I10" s="182">
        <f>D10-H10</f>
        <v>0.056837412500908624</v>
      </c>
      <c r="J10" s="182">
        <v>0.318</v>
      </c>
      <c r="K10" s="182">
        <f>D10-J10</f>
        <v>0.069</v>
      </c>
      <c r="L10" s="182">
        <v>0.388</v>
      </c>
      <c r="M10" s="182">
        <f>D10-L10</f>
        <v>-0.0010000000000000009</v>
      </c>
    </row>
    <row r="11" spans="1:13" ht="22.5" customHeight="1">
      <c r="A11" s="317" t="str">
        <f>IF('[26]Language'!$J$5="CN",'[26]Language'!$I47,'[26]Language'!$B47)</f>
        <v>Marketing Expense</v>
      </c>
      <c r="B11" s="176" t="s">
        <v>303</v>
      </c>
      <c r="C11" s="177"/>
      <c r="D11" s="178" t="e">
        <f>'P&amp;L简表'!D22</f>
        <v>#REF!</v>
      </c>
      <c r="E11" s="179"/>
      <c r="F11" s="178">
        <f>'[30]IFRS报表'!$P$93/1000</f>
        <v>285190.3819454359</v>
      </c>
      <c r="G11" s="178" t="e">
        <f t="shared" si="0"/>
        <v>#REF!</v>
      </c>
      <c r="H11" s="178">
        <f>'[28]主表-千元版'!$C$19</f>
        <v>1108487</v>
      </c>
      <c r="I11" s="184" t="s">
        <v>317</v>
      </c>
      <c r="J11" s="178">
        <v>581565.8191711181</v>
      </c>
      <c r="K11" s="178" t="e">
        <f>D11-J11</f>
        <v>#REF!</v>
      </c>
      <c r="L11" s="178" t="s">
        <v>320</v>
      </c>
      <c r="M11" s="178"/>
    </row>
    <row r="12" spans="1:13" ht="22.5" customHeight="1">
      <c r="A12" s="317" t="str">
        <f>IF('[26]Language'!$J$5="CN",'[26]Language'!$I48,'[26]Language'!$B48)</f>
        <v>Administrative Expense</v>
      </c>
      <c r="B12" s="234" t="s">
        <v>305</v>
      </c>
      <c r="C12" s="185"/>
      <c r="D12" s="235" t="e">
        <f>-#REF!/#REF!</f>
        <v>#REF!</v>
      </c>
      <c r="E12" s="186"/>
      <c r="F12" s="235">
        <f>'[30]IFRS报表'!$Q$88</f>
        <v>0.25</v>
      </c>
      <c r="G12" s="235" t="e">
        <f t="shared" si="0"/>
        <v>#REF!</v>
      </c>
      <c r="H12" s="235">
        <f>'[28]主表-千元版'!$C$39</f>
        <v>0.2499996687675636</v>
      </c>
      <c r="I12" s="235" t="e">
        <f>D12-H12</f>
        <v>#REF!</v>
      </c>
      <c r="J12" s="235">
        <v>0.25</v>
      </c>
      <c r="K12" s="235" t="e">
        <f>D12-J12</f>
        <v>#REF!</v>
      </c>
      <c r="L12" s="235" t="s">
        <v>320</v>
      </c>
      <c r="M12" s="235"/>
    </row>
    <row r="13" spans="1:13" ht="22.5" customHeight="1">
      <c r="A13" s="317" t="str">
        <f>IF('[26]Language'!$J$5="CN",'[26]Language'!$I49,'[26]Language'!$B49)</f>
        <v>R&amp;D (Expenses)</v>
      </c>
      <c r="B13" s="187" t="s">
        <v>300</v>
      </c>
      <c r="C13" s="188"/>
      <c r="D13" s="182" t="e">
        <f>'P&amp;L简表'!D23</f>
        <v>#REF!</v>
      </c>
      <c r="E13" s="179"/>
      <c r="F13" s="182">
        <v>0.067</v>
      </c>
      <c r="G13" s="182" t="e">
        <f t="shared" si="0"/>
        <v>#REF!</v>
      </c>
      <c r="H13" s="182">
        <f>'[28]主表-千元版'!$C$42</f>
        <v>0.11694717966198756</v>
      </c>
      <c r="I13" s="182" t="e">
        <f>D13-H13</f>
        <v>#REF!</v>
      </c>
      <c r="J13" s="182">
        <v>0.129</v>
      </c>
      <c r="K13" s="182" t="e">
        <f>D13-J13</f>
        <v>#REF!</v>
      </c>
      <c r="L13" s="182" t="s">
        <v>321</v>
      </c>
      <c r="M13" s="182" t="s">
        <v>322</v>
      </c>
    </row>
    <row r="14" spans="1:13" ht="22.5" customHeight="1" hidden="1">
      <c r="A14" s="317" t="str">
        <f>IF('[26]Language'!$J$5="CN",'[26]Language'!$I50,'[26]Language'!$B50)</f>
        <v>Rental expense</v>
      </c>
      <c r="B14" s="187" t="str">
        <f>IF('[26]Language'!$J$5="CN",'[26]Language'!$I40,'[26]Language'!$B40)</f>
        <v>ROA</v>
      </c>
      <c r="C14" s="188"/>
      <c r="D14" s="182" t="e">
        <f>D11*2/('[26]BS'!D14+'[26]BS'!M14)</f>
        <v>#REF!</v>
      </c>
      <c r="E14" s="179"/>
      <c r="F14" s="182" t="e">
        <v>#REF!</v>
      </c>
      <c r="G14" s="182"/>
      <c r="H14" s="182">
        <v>66.0457499718817</v>
      </c>
      <c r="I14" s="182"/>
      <c r="J14" s="182"/>
      <c r="K14" s="182"/>
      <c r="L14" s="182"/>
      <c r="M14" s="182"/>
    </row>
    <row r="15" spans="1:13" ht="22.5" customHeight="1" hidden="1" thickBot="1">
      <c r="A15" s="318" t="str">
        <f>IF('[26]Language'!$J$5="CN",'[26]Language'!$I51,'[26]Language'!$B51)</f>
        <v>Transportation costs</v>
      </c>
      <c r="B15" s="189" t="str">
        <f>IF('[26]Language'!$J$5="CN",'[26]Language'!$I41,'[26]Language'!$B41)</f>
        <v>ROE</v>
      </c>
      <c r="C15" s="190"/>
      <c r="D15" s="191" t="e">
        <f>D11*2/('[26]BS'!D28+'[26]BS'!M28)</f>
        <v>#REF!</v>
      </c>
      <c r="E15" s="192"/>
      <c r="F15" s="191" t="e">
        <v>#REF!</v>
      </c>
      <c r="G15" s="191"/>
      <c r="H15" s="191">
        <v>126.36179275599038</v>
      </c>
      <c r="I15" s="191"/>
      <c r="J15" s="191"/>
      <c r="K15" s="191"/>
      <c r="L15" s="191"/>
      <c r="M15" s="191"/>
    </row>
    <row r="16" spans="4:13" ht="3" customHeight="1" thickBot="1">
      <c r="D16" s="139"/>
      <c r="F16" s="139"/>
      <c r="G16" s="139"/>
      <c r="H16" s="139"/>
      <c r="I16" s="139"/>
      <c r="J16" s="139"/>
      <c r="K16" s="139"/>
      <c r="L16" s="139"/>
      <c r="M16" s="139"/>
    </row>
    <row r="17" spans="1:13" s="197" customFormat="1" ht="22.5" customHeight="1">
      <c r="A17" s="316" t="str">
        <f>IF('[26]Language'!$J$5="CN",'[26]Language'!$I28,'[26]Language'!$B28)</f>
        <v>Efficiency index</v>
      </c>
      <c r="B17" s="193" t="str">
        <f>IF('[26]Language'!$J$5="CN",'[26]Language'!$I68,'[26]Language'!$B68)</f>
        <v>A/R turnover</v>
      </c>
      <c r="C17" s="194"/>
      <c r="D17" s="195">
        <f>'[29]主表-千元版'!$C$129</f>
        <v>63</v>
      </c>
      <c r="E17" s="196"/>
      <c r="F17" s="195">
        <v>62</v>
      </c>
      <c r="G17" s="195">
        <f>D17-F17</f>
        <v>1</v>
      </c>
      <c r="H17" s="195">
        <f>'[28]主表-千元版'!$C$128</f>
        <v>52</v>
      </c>
      <c r="I17" s="195">
        <f>D17-H17</f>
        <v>11</v>
      </c>
      <c r="J17" s="195">
        <v>48</v>
      </c>
      <c r="K17" s="195">
        <f>D17-J17</f>
        <v>15</v>
      </c>
      <c r="L17" s="195">
        <v>68</v>
      </c>
      <c r="M17" s="195">
        <f>D17-L17</f>
        <v>-5</v>
      </c>
    </row>
    <row r="18" spans="1:13" s="197" customFormat="1" ht="22.5" customHeight="1">
      <c r="A18" s="317"/>
      <c r="B18" s="198" t="str">
        <f>IF('[26]Language'!$J$5="CN",'[26]Language'!$I69,'[26]Language'!$B69)</f>
        <v>Inventory turnover</v>
      </c>
      <c r="C18" s="194"/>
      <c r="D18" s="199">
        <f>'[29]主表-千元版'!$C$128</f>
        <v>72</v>
      </c>
      <c r="E18" s="200"/>
      <c r="F18" s="199">
        <v>72</v>
      </c>
      <c r="G18" s="199">
        <f>D18-F18</f>
        <v>0</v>
      </c>
      <c r="H18" s="199">
        <f>'[28]主表-千元版'!$C$127</f>
        <v>52</v>
      </c>
      <c r="I18" s="199">
        <f>D18-H18</f>
        <v>20</v>
      </c>
      <c r="J18" s="199">
        <v>48</v>
      </c>
      <c r="K18" s="199">
        <f>D18-J18</f>
        <v>24</v>
      </c>
      <c r="L18" s="199">
        <v>73</v>
      </c>
      <c r="M18" s="199">
        <f>D18-L18</f>
        <v>-1</v>
      </c>
    </row>
    <row r="19" spans="1:13" s="197" customFormat="1" ht="22.5" customHeight="1">
      <c r="A19" s="317"/>
      <c r="B19" s="201" t="str">
        <f>IF('[26]Language'!$J$5="CN",'[26]Language'!$I70,'[26]Language'!$B70)</f>
        <v>A/P turnover</v>
      </c>
      <c r="C19" s="194"/>
      <c r="D19" s="202">
        <f>'[29]主表-千元版'!$C$133</f>
        <v>91</v>
      </c>
      <c r="E19" s="203"/>
      <c r="F19" s="202">
        <v>90</v>
      </c>
      <c r="G19" s="202">
        <f>D19-F19</f>
        <v>1</v>
      </c>
      <c r="H19" s="202">
        <f>'[28]主表-千元版'!$C$132</f>
        <v>71</v>
      </c>
      <c r="I19" s="202">
        <f>D19-H19</f>
        <v>20</v>
      </c>
      <c r="J19" s="202">
        <v>70</v>
      </c>
      <c r="K19" s="202">
        <f>D19-J19</f>
        <v>21</v>
      </c>
      <c r="L19" s="202">
        <v>90</v>
      </c>
      <c r="M19" s="202">
        <f>D19-L19</f>
        <v>1</v>
      </c>
    </row>
    <row r="20" spans="1:13" s="197" customFormat="1" ht="22.5" customHeight="1" thickBot="1">
      <c r="A20" s="318"/>
      <c r="B20" s="204" t="str">
        <f>IF('[26]Language'!$J$5="CN",'[26]Language'!$I71,'[26]Language'!$B71)</f>
        <v>Cash cycle</v>
      </c>
      <c r="C20" s="205"/>
      <c r="D20" s="206">
        <f>D17+D18-D19</f>
        <v>44</v>
      </c>
      <c r="E20" s="207"/>
      <c r="F20" s="206">
        <f>F17+F18-F19</f>
        <v>44</v>
      </c>
      <c r="G20" s="206">
        <f>D20-F20</f>
        <v>0</v>
      </c>
      <c r="H20" s="206">
        <f>H17+H18-H19</f>
        <v>33</v>
      </c>
      <c r="I20" s="206">
        <f>D20-H20</f>
        <v>11</v>
      </c>
      <c r="J20" s="206">
        <f>J17+J18-J19</f>
        <v>26</v>
      </c>
      <c r="K20" s="206">
        <f>D20-J20</f>
        <v>18</v>
      </c>
      <c r="L20" s="206">
        <f>L17+L18-L19</f>
        <v>51</v>
      </c>
      <c r="M20" s="206">
        <f>D20-L20</f>
        <v>-7</v>
      </c>
    </row>
  </sheetData>
  <mergeCells count="3">
    <mergeCell ref="A2:B4"/>
    <mergeCell ref="A6:A15"/>
    <mergeCell ref="A17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F26"/>
  <sheetViews>
    <sheetView showGridLines="0" workbookViewId="0" topLeftCell="A1">
      <selection activeCell="D17" sqref="D17"/>
    </sheetView>
  </sheetViews>
  <sheetFormatPr defaultColWidth="9.140625" defaultRowHeight="12.75"/>
  <cols>
    <col min="1" max="1" width="9.140625" style="208" customWidth="1"/>
    <col min="2" max="2" width="16.421875" style="208" customWidth="1"/>
    <col min="3" max="3" width="0.5625" style="209" customWidth="1"/>
    <col min="4" max="6" width="13.8515625" style="208" customWidth="1"/>
    <col min="7" max="16384" width="9.140625" style="208" customWidth="1"/>
  </cols>
  <sheetData>
    <row r="1" spans="4:6" ht="13.5" thickBot="1">
      <c r="D1" s="32"/>
      <c r="E1" s="32"/>
      <c r="F1" s="32"/>
    </row>
    <row r="2" spans="2:6" ht="3" customHeight="1">
      <c r="B2" s="210"/>
      <c r="D2" s="211"/>
      <c r="E2" s="211"/>
      <c r="F2" s="211"/>
    </row>
    <row r="3" spans="2:6" ht="16.5" customHeight="1">
      <c r="B3" s="212" t="str">
        <f>IF('[26]Language'!$J$5="CN",'[26]Language'!$I15,'[26]Language'!$B15)</f>
        <v>Item</v>
      </c>
      <c r="C3" s="170"/>
      <c r="D3" s="166" t="s">
        <v>306</v>
      </c>
      <c r="E3" s="166" t="s">
        <v>307</v>
      </c>
      <c r="F3" s="213" t="s">
        <v>301</v>
      </c>
    </row>
    <row r="4" spans="2:6" ht="3" customHeight="1" thickBot="1">
      <c r="B4" s="214"/>
      <c r="C4" s="170"/>
      <c r="D4" s="168"/>
      <c r="E4" s="168"/>
      <c r="F4" s="168"/>
    </row>
    <row r="5" spans="2:6" ht="3" customHeight="1" thickBot="1">
      <c r="B5" s="170"/>
      <c r="C5" s="170"/>
      <c r="D5" s="171"/>
      <c r="E5" s="171"/>
      <c r="F5" s="171"/>
    </row>
    <row r="6" spans="2:6" ht="3" customHeight="1">
      <c r="B6" s="215"/>
      <c r="C6" s="170"/>
      <c r="D6" s="174"/>
      <c r="E6" s="174"/>
      <c r="F6" s="174"/>
    </row>
    <row r="7" spans="2:6" ht="15.75" customHeight="1">
      <c r="B7" s="216" t="str">
        <f>IF('[26]Language'!$J$5="CN",'[26]Language'!$I29,'[26]Language'!$B29)</f>
        <v>Turnover</v>
      </c>
      <c r="C7" s="177"/>
      <c r="D7" s="217" t="e">
        <f>-#REF!/1000</f>
        <v>#REF!</v>
      </c>
      <c r="E7" s="217">
        <f>KPI!F7</f>
        <v>4289883.829576927</v>
      </c>
      <c r="F7" s="217" t="e">
        <f>D7-E7</f>
        <v>#REF!</v>
      </c>
    </row>
    <row r="8" spans="2:6" ht="15.75" customHeight="1">
      <c r="B8" s="218" t="str">
        <f>IF('[26]Language'!$J$5="CN",'[26]Language'!$I30,'[26]Language'!$B30)</f>
        <v>GP</v>
      </c>
      <c r="C8" s="177"/>
      <c r="D8" s="178" t="e">
        <f>-#REF!/1000</f>
        <v>#REF!</v>
      </c>
      <c r="E8" s="178">
        <f>KPI!F7*KPI!F9</f>
        <v>2026034.7527895772</v>
      </c>
      <c r="F8" s="178" t="e">
        <f>D8-E8</f>
        <v>#REF!</v>
      </c>
    </row>
    <row r="9" spans="2:6" ht="15.75" customHeight="1">
      <c r="B9" s="219" t="str">
        <f>IF('[26]Language'!$J$5="CN",'[26]Language'!$I31,'[26]Language'!$B31)</f>
        <v>Gross Margin</v>
      </c>
      <c r="C9" s="183"/>
      <c r="D9" s="182" t="e">
        <f>D8/D7</f>
        <v>#REF!</v>
      </c>
      <c r="E9" s="182">
        <f>E8/E7</f>
        <v>0.4722819622342517</v>
      </c>
      <c r="F9" s="182" t="e">
        <f>D9-E9</f>
        <v>#REF!</v>
      </c>
    </row>
    <row r="10" spans="2:6" ht="15.75" customHeight="1">
      <c r="B10" s="218" t="str">
        <f>IF('[26]Language'!$J$5="CN",'[26]Language'!$I32,'[26]Language'!$B32)</f>
        <v>Expenses</v>
      </c>
      <c r="C10" s="177"/>
      <c r="D10" s="220" t="e">
        <f>(#REF!+#REF!)/1000</f>
        <v>#REF!</v>
      </c>
      <c r="E10" s="220"/>
      <c r="F10" s="220" t="e">
        <f>D10-E10</f>
        <v>#REF!</v>
      </c>
    </row>
    <row r="11" spans="2:6" ht="15.75" customHeight="1">
      <c r="B11" s="219" t="str">
        <f>IF('[26]Language'!$J$5="CN",'[26]Language'!$I33,'[26]Language'!$B33)</f>
        <v>% of turnover</v>
      </c>
      <c r="C11" s="183"/>
      <c r="D11" s="184" t="e">
        <f>D10/D7</f>
        <v>#REF!</v>
      </c>
      <c r="E11" s="184"/>
      <c r="F11" s="184" t="e">
        <f>D11-E11</f>
        <v>#REF!</v>
      </c>
    </row>
    <row r="12" spans="2:6" ht="3" customHeight="1" thickBot="1">
      <c r="B12" s="221"/>
      <c r="C12" s="183"/>
      <c r="D12" s="222"/>
      <c r="E12" s="222"/>
      <c r="F12" s="222"/>
    </row>
    <row r="13" spans="2:6" ht="3" customHeight="1" thickBot="1">
      <c r="B13" s="183"/>
      <c r="C13" s="183"/>
      <c r="D13" s="223"/>
      <c r="E13" s="223"/>
      <c r="F13" s="223"/>
    </row>
    <row r="14" spans="2:6" ht="3" customHeight="1">
      <c r="B14" s="224"/>
      <c r="C14" s="183"/>
      <c r="D14" s="225"/>
      <c r="E14" s="225"/>
      <c r="F14" s="225"/>
    </row>
    <row r="15" spans="2:6" ht="15.75" customHeight="1">
      <c r="B15" s="218" t="str">
        <f>IF('[26]Language'!$J$5="CN",'[26]Language'!$I34,'[26]Language'!$B34)</f>
        <v>Profit before taxation </v>
      </c>
      <c r="C15" s="177"/>
      <c r="D15" s="178" t="e">
        <f>-#REF!/1000</f>
        <v>#REF!</v>
      </c>
      <c r="E15" s="178"/>
      <c r="F15" s="178" t="e">
        <f>D15-E15</f>
        <v>#REF!</v>
      </c>
    </row>
    <row r="16" spans="2:6" ht="38.25" customHeight="1" hidden="1">
      <c r="B16" s="226" t="s">
        <v>302</v>
      </c>
      <c r="C16" s="183"/>
      <c r="D16" s="227" t="e">
        <f>D15/D7</f>
        <v>#REF!</v>
      </c>
      <c r="E16" s="227">
        <f>E15/E7</f>
        <v>0</v>
      </c>
      <c r="F16" s="227" t="e">
        <f>D16-E16</f>
        <v>#REF!</v>
      </c>
    </row>
    <row r="17" spans="2:6" ht="15.75" customHeight="1">
      <c r="B17" s="218" t="str">
        <f>IF('[26]Language'!$J$5="CN",'[26]Language'!$I35,'[26]Language'!$B35)</f>
        <v>Income tax</v>
      </c>
      <c r="C17" s="177"/>
      <c r="D17" s="178" t="e">
        <f>-#REF!/1000</f>
        <v>#REF!</v>
      </c>
      <c r="E17" s="178"/>
      <c r="F17" s="178" t="e">
        <f>D17-E17</f>
        <v>#REF!</v>
      </c>
    </row>
    <row r="18" spans="2:6" ht="15.75" customHeight="1">
      <c r="B18" s="219" t="str">
        <f>IF('[26]Language'!$J$5="CN",'[26]Language'!$I36,'[26]Language'!$B36)</f>
        <v>Income tax %</v>
      </c>
      <c r="C18" s="183"/>
      <c r="D18" s="182" t="e">
        <f>ROUND(-D17/D15,4)</f>
        <v>#REF!</v>
      </c>
      <c r="E18" s="182"/>
      <c r="F18" s="182" t="e">
        <f>D18-E18</f>
        <v>#REF!</v>
      </c>
    </row>
    <row r="19" spans="2:6" ht="3" customHeight="1" thickBot="1">
      <c r="B19" s="221"/>
      <c r="C19" s="183"/>
      <c r="D19" s="222"/>
      <c r="E19" s="222"/>
      <c r="F19" s="222"/>
    </row>
    <row r="20" spans="2:6" ht="3" customHeight="1" thickBot="1">
      <c r="B20" s="183"/>
      <c r="C20" s="183"/>
      <c r="D20" s="223"/>
      <c r="E20" s="223"/>
      <c r="F20" s="223"/>
    </row>
    <row r="21" spans="2:6" ht="3" customHeight="1">
      <c r="B21" s="224"/>
      <c r="C21" s="183"/>
      <c r="D21" s="225"/>
      <c r="E21" s="225"/>
      <c r="F21" s="225"/>
    </row>
    <row r="22" spans="2:6" ht="15.75" customHeight="1">
      <c r="B22" s="216" t="str">
        <f>IF('[26]Language'!$J$5="CN",'[26]Language'!$I37,'[26]Language'!$B37)</f>
        <v>Net profit</v>
      </c>
      <c r="C22" s="177"/>
      <c r="D22" s="217" t="e">
        <f>-#REF!/1000</f>
        <v>#REF!</v>
      </c>
      <c r="E22" s="217">
        <f>E7*KPI!F13</f>
        <v>287422.21658165415</v>
      </c>
      <c r="F22" s="217" t="e">
        <f>D22-E22</f>
        <v>#REF!</v>
      </c>
    </row>
    <row r="23" spans="2:6" ht="15.75" customHeight="1">
      <c r="B23" s="219" t="str">
        <f>IF('[26]Language'!$J$5="CN",'[26]Language'!$I38,'[26]Language'!$B38)</f>
        <v>% of turnover</v>
      </c>
      <c r="C23" s="183"/>
      <c r="D23" s="233" t="e">
        <f>D22/D7</f>
        <v>#REF!</v>
      </c>
      <c r="E23" s="228">
        <f>E22/E7</f>
        <v>0.067</v>
      </c>
      <c r="F23" s="182" t="e">
        <f>D23-E23</f>
        <v>#REF!</v>
      </c>
    </row>
    <row r="24" spans="2:6" ht="15.75" customHeight="1" hidden="1">
      <c r="B24" s="229" t="str">
        <f>IF('[26]Language'!$J$5="CN",'[26]Language'!$I39,'[26]Language'!$B39)</f>
        <v>EBITDA</v>
      </c>
      <c r="C24" s="185"/>
      <c r="D24" s="178"/>
      <c r="E24" s="178"/>
      <c r="F24" s="178"/>
    </row>
    <row r="25" spans="2:6" ht="15.75" customHeight="1" hidden="1">
      <c r="B25" s="219" t="str">
        <f>IF('[26]Language'!$J$5="CN",'[26]Language'!$I42,'[26]Language'!$B42)</f>
        <v>EBITDA%</v>
      </c>
      <c r="C25" s="183"/>
      <c r="D25" s="184" t="e">
        <f>D24/D7</f>
        <v>#REF!</v>
      </c>
      <c r="E25" s="184">
        <f>E24/E7</f>
        <v>0</v>
      </c>
      <c r="F25" s="184" t="e">
        <f>F24/F7</f>
        <v>#REF!</v>
      </c>
    </row>
    <row r="26" spans="2:6" ht="2.25" customHeight="1" thickBot="1">
      <c r="B26" s="230"/>
      <c r="D26" s="231"/>
      <c r="E26" s="231"/>
      <c r="F26" s="2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D133"/>
  <sheetViews>
    <sheetView showGridLines="0" view="pageBreakPreview" zoomScale="75" zoomScaleNormal="75" zoomScaleSheetLayoutView="75" workbookViewId="0" topLeftCell="A82">
      <selection activeCell="C79" sqref="C79"/>
    </sheetView>
  </sheetViews>
  <sheetFormatPr defaultColWidth="9.140625" defaultRowHeight="12.75"/>
  <cols>
    <col min="1" max="1" width="64.140625" style="1" bestFit="1" customWidth="1"/>
    <col min="2" max="2" width="2.140625" style="1" customWidth="1"/>
    <col min="3" max="3" width="24.140625" style="26" customWidth="1"/>
    <col min="4" max="4" width="21.28125" style="156" customWidth="1"/>
    <col min="5" max="16384" width="9.140625" style="1" customWidth="1"/>
  </cols>
  <sheetData>
    <row r="1" spans="3:4" ht="21" customHeight="1">
      <c r="C1" s="243"/>
      <c r="D1" s="155"/>
    </row>
    <row r="2" spans="1:4" ht="14.25">
      <c r="A2" s="281"/>
      <c r="B2" s="281"/>
      <c r="C2" s="290" t="s">
        <v>419</v>
      </c>
      <c r="D2" s="155"/>
    </row>
    <row r="3" spans="1:4" ht="16.5" customHeight="1">
      <c r="A3" s="281"/>
      <c r="B3" s="281"/>
      <c r="C3" s="290" t="s">
        <v>414</v>
      </c>
      <c r="D3" s="155"/>
    </row>
    <row r="4" spans="1:4" ht="14.25">
      <c r="A4" s="291" t="s">
        <v>323</v>
      </c>
      <c r="C4" s="237"/>
      <c r="D4" s="160"/>
    </row>
    <row r="5" spans="1:4" ht="15.75">
      <c r="A5" s="6"/>
      <c r="C5" s="237"/>
      <c r="D5" s="160"/>
    </row>
    <row r="6" ht="14.25">
      <c r="A6" s="291" t="s">
        <v>324</v>
      </c>
    </row>
    <row r="7" spans="1:3" ht="15" customHeight="1">
      <c r="A7" s="292" t="s">
        <v>325</v>
      </c>
      <c r="C7" s="238">
        <v>831693</v>
      </c>
    </row>
    <row r="8" spans="1:3" ht="14.25">
      <c r="A8" s="292" t="s">
        <v>326</v>
      </c>
      <c r="C8" s="238">
        <v>371696</v>
      </c>
    </row>
    <row r="9" spans="1:3" ht="14.25">
      <c r="A9" s="292" t="s">
        <v>327</v>
      </c>
      <c r="C9" s="238">
        <v>751836</v>
      </c>
    </row>
    <row r="10" spans="1:3" ht="17.25" customHeight="1">
      <c r="A10" s="292" t="s">
        <v>328</v>
      </c>
      <c r="C10" s="238">
        <v>445857</v>
      </c>
    </row>
    <row r="11" spans="1:3" ht="17.25" customHeight="1">
      <c r="A11" s="292" t="s">
        <v>329</v>
      </c>
      <c r="C11" s="238">
        <v>46930</v>
      </c>
    </row>
    <row r="12" spans="1:3" ht="17.25" customHeight="1">
      <c r="A12" s="292" t="s">
        <v>421</v>
      </c>
      <c r="C12" s="238">
        <v>11303</v>
      </c>
    </row>
    <row r="13" spans="1:3" ht="16.5" customHeight="1">
      <c r="A13" s="292" t="s">
        <v>330</v>
      </c>
      <c r="C13" s="244">
        <v>87903</v>
      </c>
    </row>
    <row r="14" spans="1:3" ht="6" customHeight="1">
      <c r="A14" s="259"/>
      <c r="B14" s="260"/>
      <c r="C14" s="239"/>
    </row>
    <row r="15" spans="1:4" s="149" customFormat="1" ht="15" customHeight="1">
      <c r="A15" s="291" t="s">
        <v>331</v>
      </c>
      <c r="C15" s="244">
        <f>SUM(C7:C13)</f>
        <v>2547218</v>
      </c>
      <c r="D15" s="157"/>
    </row>
    <row r="16" spans="1:3" ht="4.5" customHeight="1">
      <c r="A16" s="259"/>
      <c r="B16" s="260"/>
      <c r="C16" s="239"/>
    </row>
    <row r="17" spans="1:3" ht="14.25">
      <c r="A17" s="291" t="s">
        <v>332</v>
      </c>
      <c r="C17" s="238"/>
    </row>
    <row r="18" spans="1:3" ht="14.25">
      <c r="A18" s="292" t="s">
        <v>333</v>
      </c>
      <c r="C18" s="238">
        <f>'[31]主表-千元版'!$C$84</f>
        <v>1132965</v>
      </c>
    </row>
    <row r="19" spans="1:3" ht="14.25">
      <c r="A19" s="292" t="s">
        <v>334</v>
      </c>
      <c r="C19" s="238">
        <f>'[31]主表-千元版'!$C$85</f>
        <v>2094440</v>
      </c>
    </row>
    <row r="20" spans="1:3" ht="18" customHeight="1">
      <c r="A20" s="292" t="s">
        <v>335</v>
      </c>
      <c r="C20" s="238">
        <f>'[31]主表-千元版'!$C$86</f>
        <v>344527</v>
      </c>
    </row>
    <row r="21" spans="1:3" ht="14.25">
      <c r="A21" s="292" t="s">
        <v>336</v>
      </c>
      <c r="C21" s="238">
        <f>'[31]主表-千元版'!$C$88</f>
        <v>13194</v>
      </c>
    </row>
    <row r="22" spans="1:3" ht="14.25">
      <c r="A22" s="292" t="s">
        <v>337</v>
      </c>
      <c r="C22" s="244">
        <f>'[31]主表-千元版'!$C$89</f>
        <v>1196474</v>
      </c>
    </row>
    <row r="23" spans="1:3" ht="5.25" customHeight="1">
      <c r="A23" s="259"/>
      <c r="B23" s="260"/>
      <c r="C23" s="239"/>
    </row>
    <row r="24" spans="1:4" s="149" customFormat="1" ht="14.25">
      <c r="A24" s="293" t="s">
        <v>338</v>
      </c>
      <c r="C24" s="244">
        <f>SUM(C18:C22)</f>
        <v>4781600</v>
      </c>
      <c r="D24" s="157"/>
    </row>
    <row r="25" spans="1:3" ht="4.5" customHeight="1">
      <c r="A25" s="259"/>
      <c r="B25" s="260"/>
      <c r="C25" s="239"/>
    </row>
    <row r="26" spans="1:3" ht="14.25">
      <c r="A26" s="293" t="s">
        <v>339</v>
      </c>
      <c r="B26" s="264"/>
      <c r="C26" s="265">
        <f>C15+C24</f>
        <v>7328818</v>
      </c>
    </row>
    <row r="27" spans="1:3" ht="4.5" customHeight="1" thickBot="1">
      <c r="A27" s="269"/>
      <c r="B27" s="270"/>
      <c r="C27" s="240"/>
    </row>
    <row r="28" spans="1:3" ht="9" customHeight="1">
      <c r="A28" s="11"/>
      <c r="C28" s="238"/>
    </row>
    <row r="29" spans="1:3" ht="14.25">
      <c r="A29" s="291" t="s">
        <v>340</v>
      </c>
      <c r="C29" s="238"/>
    </row>
    <row r="30" spans="1:3" ht="15.75">
      <c r="A30" s="6"/>
      <c r="C30" s="238"/>
    </row>
    <row r="31" spans="1:3" ht="14.25">
      <c r="A31" s="291" t="s">
        <v>341</v>
      </c>
      <c r="C31" s="238"/>
    </row>
    <row r="32" spans="1:3" ht="14.25">
      <c r="A32" s="292" t="s">
        <v>342</v>
      </c>
      <c r="C32" s="238">
        <f>'[31]主表-千元版'!$C$93</f>
        <v>111604</v>
      </c>
    </row>
    <row r="33" spans="1:3" ht="14.25">
      <c r="A33" s="292" t="s">
        <v>343</v>
      </c>
      <c r="C33" s="238">
        <f>'[31]主表-千元版'!$C$94</f>
        <v>312379</v>
      </c>
    </row>
    <row r="34" spans="1:3" ht="14.25">
      <c r="A34" s="292" t="s">
        <v>344</v>
      </c>
      <c r="C34" s="238">
        <f>'[31]主表-千元版'!$C$95</f>
        <v>-52415</v>
      </c>
    </row>
    <row r="35" spans="1:3" ht="14.25">
      <c r="A35" s="292" t="s">
        <v>345</v>
      </c>
      <c r="C35" s="238">
        <f>'[31]主表-千元版'!$C$96+'[31]主表-千元版'!$C$97</f>
        <v>370106</v>
      </c>
    </row>
    <row r="36" spans="1:3" ht="14.25">
      <c r="A36" s="292" t="s">
        <v>346</v>
      </c>
      <c r="C36" s="238"/>
    </row>
    <row r="37" spans="1:3" ht="15">
      <c r="A37" s="11" t="s">
        <v>417</v>
      </c>
      <c r="C37" s="238">
        <f>'[31]主表-千元版'!$C$99</f>
        <v>0</v>
      </c>
    </row>
    <row r="38" spans="1:3" ht="15">
      <c r="A38" s="11" t="s">
        <v>347</v>
      </c>
      <c r="C38" s="244">
        <f>'[31]主表-千元版'!$C$100</f>
        <v>2730169</v>
      </c>
    </row>
    <row r="39" spans="1:3" ht="6" customHeight="1">
      <c r="A39" s="259"/>
      <c r="B39" s="260"/>
      <c r="C39" s="239"/>
    </row>
    <row r="40" spans="1:3" ht="15">
      <c r="A40" s="11"/>
      <c r="C40" s="238">
        <f>SUM(C32:C38)</f>
        <v>3471843</v>
      </c>
    </row>
    <row r="41" spans="1:3" ht="10.5" customHeight="1">
      <c r="A41" s="11"/>
      <c r="C41" s="238"/>
    </row>
    <row r="42" spans="1:3" ht="15.75" customHeight="1">
      <c r="A42" s="291" t="s">
        <v>348</v>
      </c>
      <c r="C42" s="244">
        <f>'[31]主表-千元版'!$C$102</f>
        <v>192816</v>
      </c>
    </row>
    <row r="43" spans="1:3" ht="6" customHeight="1">
      <c r="A43" s="259"/>
      <c r="B43" s="260"/>
      <c r="C43" s="239"/>
    </row>
    <row r="44" spans="1:4" s="149" customFormat="1" ht="14.25">
      <c r="A44" s="291" t="s">
        <v>349</v>
      </c>
      <c r="C44" s="244">
        <f>C40+C42</f>
        <v>3664659</v>
      </c>
      <c r="D44" s="157"/>
    </row>
    <row r="45" spans="1:4" s="149" customFormat="1" ht="3.75" customHeight="1">
      <c r="A45" s="261"/>
      <c r="B45" s="262"/>
      <c r="C45" s="239"/>
      <c r="D45" s="157"/>
    </row>
    <row r="46" spans="1:3" ht="15">
      <c r="A46" s="11"/>
      <c r="C46" s="244"/>
    </row>
    <row r="47" spans="1:3" ht="15">
      <c r="A47" s="11"/>
      <c r="C47" s="238"/>
    </row>
    <row r="48" spans="1:4" ht="14.25">
      <c r="A48" s="260"/>
      <c r="B48" s="260"/>
      <c r="C48" s="296" t="s">
        <v>419</v>
      </c>
      <c r="D48" s="155"/>
    </row>
    <row r="49" spans="1:4" ht="16.5" customHeight="1">
      <c r="A49" s="260"/>
      <c r="B49" s="260"/>
      <c r="C49" s="290" t="s">
        <v>414</v>
      </c>
      <c r="D49" s="155"/>
    </row>
    <row r="50" spans="1:3" ht="14.25">
      <c r="A50" s="291" t="s">
        <v>350</v>
      </c>
      <c r="C50" s="238"/>
    </row>
    <row r="51" spans="1:3" ht="15.75">
      <c r="A51" s="6"/>
      <c r="C51" s="238"/>
    </row>
    <row r="52" spans="1:3" ht="14.25">
      <c r="A52" s="291" t="s">
        <v>351</v>
      </c>
      <c r="C52" s="238"/>
    </row>
    <row r="53" spans="1:3" ht="14.25">
      <c r="A53" s="292" t="s">
        <v>352</v>
      </c>
      <c r="C53" s="238">
        <f>'[31]主表-千元版'!$C$106</f>
        <v>458793</v>
      </c>
    </row>
    <row r="54" spans="1:3" ht="14.25">
      <c r="A54" s="292" t="s">
        <v>353</v>
      </c>
      <c r="C54" s="238">
        <f>'[31]主表-千元版'!$C$108</f>
        <v>81269</v>
      </c>
    </row>
    <row r="55" spans="1:3" ht="14.25">
      <c r="A55" s="294" t="s">
        <v>354</v>
      </c>
      <c r="B55" s="263"/>
      <c r="C55" s="244">
        <f>'[31]主表-千元版'!$C$107</f>
        <v>61030</v>
      </c>
    </row>
    <row r="56" spans="1:3" ht="3.75" customHeight="1">
      <c r="A56" s="259"/>
      <c r="B56" s="260"/>
      <c r="C56" s="239"/>
    </row>
    <row r="57" spans="1:3" ht="14.25">
      <c r="A57" s="293" t="s">
        <v>355</v>
      </c>
      <c r="B57" s="264"/>
      <c r="C57" s="265">
        <f>SUM(C53:C56)</f>
        <v>601092</v>
      </c>
    </row>
    <row r="58" spans="1:3" ht="4.5" customHeight="1">
      <c r="A58" s="259"/>
      <c r="B58" s="260"/>
      <c r="C58" s="239"/>
    </row>
    <row r="59" spans="1:3" ht="14.25">
      <c r="A59" s="291" t="s">
        <v>356</v>
      </c>
      <c r="C59" s="238"/>
    </row>
    <row r="60" spans="1:3" ht="14.25">
      <c r="A60" s="292" t="s">
        <v>357</v>
      </c>
      <c r="C60" s="238">
        <f>'[31]主表-千元版'!$C$110</f>
        <v>1462398</v>
      </c>
    </row>
    <row r="61" spans="1:3" ht="14.25">
      <c r="A61" s="292" t="s">
        <v>358</v>
      </c>
      <c r="C61" s="238">
        <f>'[31]主表-千元版'!$C$111</f>
        <v>662480</v>
      </c>
    </row>
    <row r="62" spans="1:3" ht="15">
      <c r="A62" s="292" t="s">
        <v>359</v>
      </c>
      <c r="C62" s="238">
        <f>'[31]主表-千元版'!$C$114</f>
        <v>71649</v>
      </c>
    </row>
    <row r="63" spans="1:3" ht="14.25">
      <c r="A63" s="292" t="s">
        <v>360</v>
      </c>
      <c r="C63" s="238">
        <f>'[31]主表-千元版'!$C$113</f>
        <v>28481</v>
      </c>
    </row>
    <row r="64" spans="1:3" ht="14.25">
      <c r="A64" s="292" t="s">
        <v>361</v>
      </c>
      <c r="C64" s="244">
        <f>'[31]主表-千元版'!$C$112</f>
        <v>838059</v>
      </c>
    </row>
    <row r="65" spans="1:3" ht="3.75" customHeight="1">
      <c r="A65" s="259"/>
      <c r="B65" s="260"/>
      <c r="C65" s="239"/>
    </row>
    <row r="66" spans="1:3" ht="14.25">
      <c r="A66" s="293" t="s">
        <v>362</v>
      </c>
      <c r="B66" s="264"/>
      <c r="C66" s="265">
        <f>SUM(C60:C65)</f>
        <v>3063067</v>
      </c>
    </row>
    <row r="67" spans="1:3" ht="3.75" customHeight="1">
      <c r="A67" s="259"/>
      <c r="B67" s="260"/>
      <c r="C67" s="239"/>
    </row>
    <row r="68" spans="1:4" s="149" customFormat="1" ht="14.25">
      <c r="A68" s="293" t="s">
        <v>363</v>
      </c>
      <c r="B68" s="278"/>
      <c r="C68" s="265">
        <f>C57+C66</f>
        <v>3664159</v>
      </c>
      <c r="D68" s="157"/>
    </row>
    <row r="69" spans="1:3" ht="5.25" customHeight="1">
      <c r="A69" s="259"/>
      <c r="B69" s="260"/>
      <c r="C69" s="239"/>
    </row>
    <row r="70" spans="1:4" s="149" customFormat="1" ht="15" customHeight="1">
      <c r="A70" s="291" t="s">
        <v>364</v>
      </c>
      <c r="C70" s="244">
        <f>C68+C44</f>
        <v>7328818</v>
      </c>
      <c r="D70" s="157"/>
    </row>
    <row r="71" spans="1:3" ht="3.75" customHeight="1" thickBot="1">
      <c r="A71" s="269"/>
      <c r="B71" s="270"/>
      <c r="C71" s="240"/>
    </row>
    <row r="72" spans="1:3" ht="14.25">
      <c r="A72" s="295" t="s">
        <v>365</v>
      </c>
      <c r="B72" s="271"/>
      <c r="C72" s="272">
        <f>C24-C66</f>
        <v>1718533</v>
      </c>
    </row>
    <row r="73" spans="1:3" ht="6" customHeight="1" thickBot="1">
      <c r="A73" s="273"/>
      <c r="B73" s="270"/>
      <c r="C73" s="240"/>
    </row>
    <row r="74" spans="1:3" ht="14.25">
      <c r="A74" s="295" t="s">
        <v>366</v>
      </c>
      <c r="B74" s="271"/>
      <c r="C74" s="272">
        <f>C26-C66</f>
        <v>4265751</v>
      </c>
    </row>
    <row r="75" spans="1:3" ht="3.75" customHeight="1" thickBot="1">
      <c r="A75" s="274"/>
      <c r="B75" s="270"/>
      <c r="C75" s="240"/>
    </row>
    <row r="76" spans="1:3" ht="3.75" customHeight="1">
      <c r="A76" s="21"/>
      <c r="C76" s="244"/>
    </row>
    <row r="77" spans="1:3" ht="15">
      <c r="A77" s="21"/>
      <c r="C77" s="238"/>
    </row>
    <row r="78" spans="1:3" ht="15">
      <c r="A78" s="267"/>
      <c r="B78" s="263"/>
      <c r="C78" s="303" t="s">
        <v>429</v>
      </c>
    </row>
    <row r="79" spans="1:3" ht="15">
      <c r="A79" s="304"/>
      <c r="B79" s="264"/>
      <c r="C79" s="305" t="s">
        <v>420</v>
      </c>
    </row>
    <row r="80" spans="1:3" ht="15">
      <c r="A80" s="266"/>
      <c r="B80" s="260"/>
      <c r="C80" s="308" t="s">
        <v>416</v>
      </c>
    </row>
    <row r="81" spans="1:3" ht="14.25" customHeight="1">
      <c r="A81" s="21"/>
      <c r="C81" s="238"/>
    </row>
    <row r="82" spans="1:3" ht="14.25">
      <c r="A82" s="297" t="s">
        <v>367</v>
      </c>
      <c r="C82" s="238">
        <f>'[31]主表-千元版'!$C$7</f>
        <v>8928526</v>
      </c>
    </row>
    <row r="83" spans="1:3" ht="14.25">
      <c r="A83" s="297" t="s">
        <v>368</v>
      </c>
      <c r="C83" s="244">
        <f>'[31]主表-千元版'!$C$8</f>
        <v>-4814013</v>
      </c>
    </row>
    <row r="84" spans="1:3" ht="6" customHeight="1">
      <c r="A84" s="266"/>
      <c r="B84" s="260"/>
      <c r="C84" s="239"/>
    </row>
    <row r="85" spans="1:4" ht="14.25">
      <c r="A85" s="291" t="s">
        <v>369</v>
      </c>
      <c r="C85" s="238">
        <f>C82+C83</f>
        <v>4114513</v>
      </c>
      <c r="D85" s="159"/>
    </row>
    <row r="86" spans="1:3" ht="15">
      <c r="A86" s="21"/>
      <c r="C86" s="238"/>
    </row>
    <row r="87" spans="1:3" ht="14.25">
      <c r="A87" s="297" t="s">
        <v>370</v>
      </c>
      <c r="C87" s="238">
        <f>'[31]主表-千元版'!$C$10</f>
        <v>-2909922</v>
      </c>
    </row>
    <row r="88" spans="1:3" ht="14.25">
      <c r="A88" s="297" t="s">
        <v>371</v>
      </c>
      <c r="C88" s="238">
        <f>'[31]主表-千元版'!$C$11</f>
        <v>-717068</v>
      </c>
    </row>
    <row r="89" spans="1:3" ht="14.25">
      <c r="A89" s="297" t="s">
        <v>422</v>
      </c>
      <c r="C89" s="244">
        <f>'[31]主表-千元版'!$C$12</f>
        <v>143433</v>
      </c>
    </row>
    <row r="90" spans="1:3" ht="5.25" customHeight="1">
      <c r="A90" s="266"/>
      <c r="B90" s="260"/>
      <c r="C90" s="239"/>
    </row>
    <row r="91" spans="1:4" s="149" customFormat="1" ht="14.25">
      <c r="A91" s="298" t="s">
        <v>372</v>
      </c>
      <c r="C91" s="238">
        <f>SUM(C85:C89)</f>
        <v>630956</v>
      </c>
      <c r="D91" s="157"/>
    </row>
    <row r="92" spans="1:4" s="149" customFormat="1" ht="9.75" customHeight="1">
      <c r="A92" s="150"/>
      <c r="C92" s="238"/>
      <c r="D92" s="157"/>
    </row>
    <row r="93" spans="1:4" ht="14.25">
      <c r="A93" s="297" t="s">
        <v>373</v>
      </c>
      <c r="C93" s="238">
        <v>17179</v>
      </c>
      <c r="D93" s="159"/>
    </row>
    <row r="94" spans="1:3" ht="14.25">
      <c r="A94" s="297" t="s">
        <v>374</v>
      </c>
      <c r="C94" s="244">
        <v>-99231</v>
      </c>
    </row>
    <row r="95" spans="1:3" ht="3.75" customHeight="1">
      <c r="A95" s="266"/>
      <c r="B95" s="260"/>
      <c r="C95" s="239"/>
    </row>
    <row r="96" spans="1:3" ht="15">
      <c r="A96" s="297" t="s">
        <v>375</v>
      </c>
      <c r="C96" s="238">
        <f>SUM(C93:C95)</f>
        <v>-82052</v>
      </c>
    </row>
    <row r="97" spans="1:3" ht="14.25">
      <c r="A97" s="309" t="s">
        <v>423</v>
      </c>
      <c r="B97" s="260"/>
      <c r="C97" s="239">
        <v>-1527</v>
      </c>
    </row>
    <row r="98" spans="1:3" ht="9" customHeight="1">
      <c r="A98" s="267"/>
      <c r="B98" s="263"/>
      <c r="C98" s="244"/>
    </row>
    <row r="99" spans="1:4" s="149" customFormat="1" ht="14.25">
      <c r="A99" s="298" t="s">
        <v>376</v>
      </c>
      <c r="C99" s="238">
        <f>C91+C96+C97</f>
        <v>547377</v>
      </c>
      <c r="D99" s="159"/>
    </row>
    <row r="100" spans="1:4" s="149" customFormat="1" ht="8.25" customHeight="1">
      <c r="A100" s="150"/>
      <c r="C100" s="238"/>
      <c r="D100" s="159"/>
    </row>
    <row r="101" spans="1:4" ht="14.25">
      <c r="A101" s="297" t="s">
        <v>377</v>
      </c>
      <c r="C101" s="244">
        <f>'[31]主表-千元版'!$C$17</f>
        <v>-136408</v>
      </c>
      <c r="D101" s="232"/>
    </row>
    <row r="102" spans="1:3" ht="6" customHeight="1">
      <c r="A102" s="266"/>
      <c r="B102" s="260"/>
      <c r="C102" s="239"/>
    </row>
    <row r="103" spans="1:4" s="149" customFormat="1" ht="14.25">
      <c r="A103" s="298" t="s">
        <v>409</v>
      </c>
      <c r="C103" s="244">
        <f>SUM(C99:C101)</f>
        <v>410969</v>
      </c>
      <c r="D103" s="157"/>
    </row>
    <row r="104" spans="1:4" s="149" customFormat="1" ht="5.25" customHeight="1" thickBot="1">
      <c r="A104" s="275"/>
      <c r="B104" s="276"/>
      <c r="C104" s="240"/>
      <c r="D104" s="157"/>
    </row>
    <row r="105" spans="1:4" s="149" customFormat="1" ht="14.25">
      <c r="A105" s="298" t="s">
        <v>378</v>
      </c>
      <c r="C105" s="238"/>
      <c r="D105" s="157"/>
    </row>
    <row r="106" spans="1:4" s="149" customFormat="1" ht="15">
      <c r="A106" s="21" t="s">
        <v>379</v>
      </c>
      <c r="C106" s="238">
        <f>'[31]主表-千元版'!$C$20</f>
        <v>385813</v>
      </c>
      <c r="D106" s="157"/>
    </row>
    <row r="107" spans="1:4" s="149" customFormat="1" ht="15">
      <c r="A107" s="267" t="s">
        <v>380</v>
      </c>
      <c r="B107" s="268"/>
      <c r="C107" s="244">
        <v>25156</v>
      </c>
      <c r="D107" s="157"/>
    </row>
    <row r="108" spans="1:4" s="149" customFormat="1" ht="3.75" customHeight="1">
      <c r="A108" s="266"/>
      <c r="B108" s="262"/>
      <c r="C108" s="239"/>
      <c r="D108" s="157"/>
    </row>
    <row r="109" spans="1:4" s="149" customFormat="1" ht="15.75">
      <c r="A109" s="277"/>
      <c r="B109" s="278"/>
      <c r="C109" s="265">
        <f>SUM(C106:C108)</f>
        <v>410969</v>
      </c>
      <c r="D109" s="157"/>
    </row>
    <row r="110" spans="1:4" s="149" customFormat="1" ht="3.75" customHeight="1" thickBot="1">
      <c r="A110" s="275"/>
      <c r="B110" s="276"/>
      <c r="C110" s="240"/>
      <c r="D110" s="157"/>
    </row>
    <row r="111" spans="1:4" s="149" customFormat="1" ht="7.5" customHeight="1">
      <c r="A111" s="150"/>
      <c r="C111" s="238"/>
      <c r="D111" s="157"/>
    </row>
    <row r="112" spans="1:4" s="149" customFormat="1" ht="15.75">
      <c r="A112" s="298" t="s">
        <v>418</v>
      </c>
      <c r="C112" s="238"/>
      <c r="D112" s="157"/>
    </row>
    <row r="113" spans="1:4" s="149" customFormat="1" ht="9.75" customHeight="1">
      <c r="A113" s="150"/>
      <c r="C113" s="238"/>
      <c r="D113" s="157"/>
    </row>
    <row r="114" spans="1:4" s="149" customFormat="1" ht="15">
      <c r="A114" s="267" t="s">
        <v>381</v>
      </c>
      <c r="B114" s="268"/>
      <c r="C114" s="245">
        <v>36.7</v>
      </c>
      <c r="D114" s="157"/>
    </row>
    <row r="115" spans="1:4" s="149" customFormat="1" ht="3.75" customHeight="1" thickBot="1">
      <c r="A115" s="274"/>
      <c r="B115" s="276"/>
      <c r="C115" s="242"/>
      <c r="D115" s="157"/>
    </row>
    <row r="116" spans="1:4" ht="15">
      <c r="A116" s="279" t="s">
        <v>382</v>
      </c>
      <c r="B116" s="271"/>
      <c r="C116" s="280">
        <v>36.56</v>
      </c>
      <c r="D116" s="158"/>
    </row>
    <row r="117" spans="1:3" ht="6" customHeight="1" thickBot="1">
      <c r="A117" s="270"/>
      <c r="B117" s="270"/>
      <c r="C117" s="240"/>
    </row>
    <row r="118" spans="1:3" ht="14.25">
      <c r="A118" s="299" t="s">
        <v>383</v>
      </c>
      <c r="B118" s="271"/>
      <c r="C118" s="272">
        <v>116533</v>
      </c>
    </row>
    <row r="119" spans="1:3" ht="3.75" customHeight="1" thickBot="1">
      <c r="A119" s="275"/>
      <c r="B119" s="270"/>
      <c r="C119" s="240"/>
    </row>
    <row r="120" spans="3:4" ht="14.25">
      <c r="C120" s="241"/>
      <c r="D120" s="159"/>
    </row>
    <row r="121" spans="1:3" ht="14.25">
      <c r="A121" s="298" t="s">
        <v>409</v>
      </c>
      <c r="C121" s="238">
        <f>C103</f>
        <v>410969</v>
      </c>
    </row>
    <row r="122" spans="1:3" ht="14.25">
      <c r="A122" s="298" t="s">
        <v>384</v>
      </c>
      <c r="C122" s="238"/>
    </row>
    <row r="123" spans="1:3" ht="14.25">
      <c r="A123" s="300" t="s">
        <v>385</v>
      </c>
      <c r="C123" s="238">
        <v>3762</v>
      </c>
    </row>
    <row r="124" spans="1:3" ht="3" customHeight="1">
      <c r="A124" s="288"/>
      <c r="B124" s="260"/>
      <c r="C124" s="239"/>
    </row>
    <row r="125" spans="1:3" ht="14.25">
      <c r="A125" s="298" t="s">
        <v>410</v>
      </c>
      <c r="C125" s="238">
        <f>C121+C123</f>
        <v>414731</v>
      </c>
    </row>
    <row r="126" spans="1:3" ht="4.5" customHeight="1" thickBot="1">
      <c r="A126" s="289"/>
      <c r="B126" s="270"/>
      <c r="C126" s="240"/>
    </row>
    <row r="127" spans="1:3" ht="14.25">
      <c r="A127" s="298" t="s">
        <v>386</v>
      </c>
      <c r="C127" s="238"/>
    </row>
    <row r="128" spans="1:3" ht="15">
      <c r="A128" s="21" t="s">
        <v>379</v>
      </c>
      <c r="C128" s="238">
        <f>C125-C129</f>
        <v>389575</v>
      </c>
    </row>
    <row r="129" spans="1:3" ht="15">
      <c r="A129" s="267" t="s">
        <v>380</v>
      </c>
      <c r="C129" s="238">
        <f>C107</f>
        <v>25156</v>
      </c>
    </row>
    <row r="130" spans="1:3" ht="3.75" customHeight="1">
      <c r="A130" s="288"/>
      <c r="B130" s="260"/>
      <c r="C130" s="239"/>
    </row>
    <row r="131" ht="14.25">
      <c r="C131" s="238">
        <f>C128+C129</f>
        <v>414731</v>
      </c>
    </row>
    <row r="132" spans="1:3" ht="6" customHeight="1" thickBot="1">
      <c r="A132" s="270"/>
      <c r="B132" s="270"/>
      <c r="C132" s="240"/>
    </row>
    <row r="133" ht="14.25">
      <c r="C133" s="238"/>
    </row>
  </sheetData>
  <printOptions/>
  <pageMargins left="0.75" right="0.75" top="1" bottom="1" header="0.5" footer="0.5"/>
  <pageSetup fitToHeight="2" horizontalDpi="600" verticalDpi="600" orientation="portrait" paperSize="9" scale="43" r:id="rId1"/>
  <rowBreaks count="1" manualBreakCount="1">
    <brk id="46" max="255" man="1"/>
  </rowBreaks>
  <colBreaks count="1" manualBreakCount="1">
    <brk id="3" max="1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2:D115"/>
  <sheetViews>
    <sheetView showGridLines="0" tabSelected="1" view="pageBreakPreview" zoomScale="75" zoomScaleNormal="75" zoomScaleSheetLayoutView="75" workbookViewId="0" topLeftCell="A1">
      <selection activeCell="C3" sqref="C3"/>
    </sheetView>
  </sheetViews>
  <sheetFormatPr defaultColWidth="9.140625" defaultRowHeight="12.75"/>
  <cols>
    <col min="1" max="1" width="70.28125" style="246" customWidth="1"/>
    <col min="2" max="2" width="1.57421875" style="247" customWidth="1"/>
    <col min="3" max="3" width="24.8515625" style="253" customWidth="1"/>
    <col min="4" max="4" width="21.28125" style="26" customWidth="1"/>
    <col min="5" max="16384" width="9.140625" style="1" customWidth="1"/>
  </cols>
  <sheetData>
    <row r="2" spans="3:4" ht="15">
      <c r="C2" s="303" t="s">
        <v>429</v>
      </c>
      <c r="D2" s="151"/>
    </row>
    <row r="3" spans="1:4" ht="15">
      <c r="A3" s="306"/>
      <c r="B3" s="307"/>
      <c r="C3" s="305" t="s">
        <v>420</v>
      </c>
      <c r="D3" s="151"/>
    </row>
    <row r="4" spans="1:4" ht="15">
      <c r="A4" s="282"/>
      <c r="B4" s="283"/>
      <c r="C4" s="308" t="s">
        <v>415</v>
      </c>
      <c r="D4" s="151"/>
    </row>
    <row r="5" spans="3:4" ht="12.75" customHeight="1">
      <c r="C5" s="255"/>
      <c r="D5" s="151"/>
    </row>
    <row r="6" spans="1:4" ht="17.25" customHeight="1">
      <c r="A6" s="301" t="s">
        <v>387</v>
      </c>
      <c r="B6" s="248"/>
      <c r="D6" s="151"/>
    </row>
    <row r="7" spans="1:4" ht="15">
      <c r="A7" s="302" t="s">
        <v>388</v>
      </c>
      <c r="B7" s="249"/>
      <c r="C7" s="238">
        <f>ROUND('[32]底稿-集团'!$B$15,0)</f>
        <v>427477</v>
      </c>
      <c r="D7" s="237"/>
    </row>
    <row r="8" spans="1:4" ht="15">
      <c r="A8" s="302" t="s">
        <v>389</v>
      </c>
      <c r="B8" s="249"/>
      <c r="C8" s="238">
        <f>ROUND('[32]底稿-集团'!$B$16,0)</f>
        <v>-411907</v>
      </c>
      <c r="D8" s="237"/>
    </row>
    <row r="9" spans="1:3" ht="6" customHeight="1">
      <c r="A9" s="284"/>
      <c r="B9" s="284"/>
      <c r="C9" s="239"/>
    </row>
    <row r="10" spans="1:3" ht="15" customHeight="1">
      <c r="A10" s="301" t="s">
        <v>390</v>
      </c>
      <c r="B10" s="248"/>
      <c r="C10" s="238">
        <f>SUM(C7:C9)</f>
        <v>15570</v>
      </c>
    </row>
    <row r="11" spans="1:3" ht="4.5" customHeight="1">
      <c r="A11" s="284"/>
      <c r="B11" s="284"/>
      <c r="C11" s="239"/>
    </row>
    <row r="12" spans="1:3" ht="15.75">
      <c r="A12" s="301" t="s">
        <v>391</v>
      </c>
      <c r="B12" s="248"/>
      <c r="C12" s="238"/>
    </row>
    <row r="13" spans="1:3" ht="15">
      <c r="A13" s="249" t="s">
        <v>392</v>
      </c>
      <c r="B13" s="249"/>
      <c r="C13" s="238">
        <v>0</v>
      </c>
    </row>
    <row r="14" spans="1:3" ht="15">
      <c r="A14" s="249" t="s">
        <v>393</v>
      </c>
      <c r="B14" s="249"/>
      <c r="C14" s="238">
        <f>ROUND('[32]底稿-集团'!$B$22,0)</f>
        <v>-298021</v>
      </c>
    </row>
    <row r="15" spans="1:4" s="149" customFormat="1" ht="15">
      <c r="A15" s="249" t="s">
        <v>394</v>
      </c>
      <c r="B15" s="249"/>
      <c r="C15" s="238">
        <f>ROUND('[32]底稿-集团'!$B$24,0)</f>
        <v>-150</v>
      </c>
      <c r="D15" s="152"/>
    </row>
    <row r="16" spans="1:3" ht="15">
      <c r="A16" s="249" t="s">
        <v>395</v>
      </c>
      <c r="B16" s="249"/>
      <c r="C16" s="238">
        <f>ROUND('[32]底稿-集团'!$B$23,0)</f>
        <v>-89612</v>
      </c>
    </row>
    <row r="17" spans="1:3" ht="15">
      <c r="A17" s="249" t="s">
        <v>396</v>
      </c>
      <c r="B17" s="249"/>
      <c r="C17" s="238"/>
    </row>
    <row r="18" spans="1:3" ht="15">
      <c r="A18" s="249" t="s">
        <v>424</v>
      </c>
      <c r="B18" s="249"/>
      <c r="C18" s="238">
        <f>ROUND('[32]底稿-集团'!$B$32,0)</f>
        <v>-12830</v>
      </c>
    </row>
    <row r="19" spans="1:3" ht="15">
      <c r="A19" s="249" t="s">
        <v>425</v>
      </c>
      <c r="B19" s="249"/>
      <c r="C19" s="238">
        <v>-10000</v>
      </c>
    </row>
    <row r="20" spans="1:3" ht="15">
      <c r="A20" s="256" t="s">
        <v>411</v>
      </c>
      <c r="B20" s="249"/>
      <c r="C20" s="238">
        <v>2069</v>
      </c>
    </row>
    <row r="21" spans="1:3" ht="15">
      <c r="A21" s="249" t="s">
        <v>397</v>
      </c>
      <c r="B21" s="250"/>
      <c r="C21" s="238">
        <f>ROUND('[32]底稿-集团'!$B$27,0)</f>
        <v>6198</v>
      </c>
    </row>
    <row r="22" spans="1:3" ht="6" customHeight="1">
      <c r="A22" s="284"/>
      <c r="B22" s="285"/>
      <c r="C22" s="239"/>
    </row>
    <row r="23" spans="1:3" ht="14.25">
      <c r="A23" s="301" t="s">
        <v>398</v>
      </c>
      <c r="B23" s="251"/>
      <c r="C23" s="238">
        <f>SUM(C13:C21)</f>
        <v>-402346</v>
      </c>
    </row>
    <row r="24" spans="1:3" ht="3.75" customHeight="1">
      <c r="A24" s="284"/>
      <c r="B24" s="285"/>
      <c r="C24" s="239"/>
    </row>
    <row r="25" spans="1:3" ht="13.5" customHeight="1">
      <c r="A25" s="301" t="s">
        <v>399</v>
      </c>
      <c r="B25" s="251"/>
      <c r="C25" s="238"/>
    </row>
    <row r="26" spans="1:4" s="149" customFormat="1" ht="15">
      <c r="A26" s="249" t="s">
        <v>400</v>
      </c>
      <c r="B26" s="250"/>
      <c r="C26" s="238">
        <v>-325605</v>
      </c>
      <c r="D26" s="152"/>
    </row>
    <row r="27" spans="1:3" ht="13.5" customHeight="1">
      <c r="A27" s="249" t="s">
        <v>401</v>
      </c>
      <c r="B27" s="250"/>
      <c r="C27" s="238">
        <v>-22420</v>
      </c>
    </row>
    <row r="28" spans="1:3" ht="15">
      <c r="A28" s="249" t="s">
        <v>402</v>
      </c>
      <c r="B28" s="250"/>
      <c r="C28" s="238">
        <v>12410</v>
      </c>
    </row>
    <row r="29" spans="1:3" ht="15">
      <c r="A29" s="249" t="s">
        <v>403</v>
      </c>
      <c r="B29" s="250"/>
      <c r="C29" s="238">
        <v>0</v>
      </c>
    </row>
    <row r="30" spans="1:3" ht="15">
      <c r="A30" s="249" t="s">
        <v>404</v>
      </c>
      <c r="B30" s="250"/>
      <c r="C30" s="238">
        <v>2240053</v>
      </c>
    </row>
    <row r="31" spans="1:3" ht="15">
      <c r="A31" s="249" t="s">
        <v>405</v>
      </c>
      <c r="B31" s="250"/>
      <c r="C31" s="238">
        <v>-1711422</v>
      </c>
    </row>
    <row r="32" spans="1:3" ht="15">
      <c r="A32" s="249" t="s">
        <v>406</v>
      </c>
      <c r="B32" s="250"/>
      <c r="C32" s="238">
        <v>-12729</v>
      </c>
    </row>
    <row r="33" spans="1:3" ht="15">
      <c r="A33" s="249" t="s">
        <v>407</v>
      </c>
      <c r="B33" s="250"/>
      <c r="C33" s="238">
        <v>-49104</v>
      </c>
    </row>
    <row r="34" spans="1:3" ht="15">
      <c r="A34" s="249" t="s">
        <v>427</v>
      </c>
      <c r="B34" s="250"/>
      <c r="C34" s="238">
        <v>-11149</v>
      </c>
    </row>
    <row r="35" spans="1:3" ht="6" customHeight="1">
      <c r="A35" s="284"/>
      <c r="B35" s="285"/>
      <c r="C35" s="239"/>
    </row>
    <row r="36" spans="1:3" ht="14.25">
      <c r="A36" s="301" t="s">
        <v>426</v>
      </c>
      <c r="B36" s="251"/>
      <c r="C36" s="238">
        <f>SUM(C26:C34)</f>
        <v>120034</v>
      </c>
    </row>
    <row r="37" spans="1:3" ht="3.75" customHeight="1">
      <c r="A37" s="284"/>
      <c r="B37" s="285"/>
      <c r="C37" s="239"/>
    </row>
    <row r="38" spans="1:3" ht="14.25">
      <c r="A38" s="301" t="s">
        <v>428</v>
      </c>
      <c r="B38" s="251"/>
      <c r="C38" s="238">
        <f>C10+C23+C36</f>
        <v>-266742</v>
      </c>
    </row>
    <row r="39" spans="1:3" ht="14.25">
      <c r="A39" s="302" t="s">
        <v>412</v>
      </c>
      <c r="B39" s="250"/>
      <c r="C39" s="238">
        <v>1470435</v>
      </c>
    </row>
    <row r="40" spans="1:3" ht="14.25">
      <c r="A40" s="302" t="s">
        <v>408</v>
      </c>
      <c r="B40" s="250"/>
      <c r="C40" s="238">
        <v>-7219</v>
      </c>
    </row>
    <row r="41" spans="1:3" ht="7.5" customHeight="1">
      <c r="A41" s="284"/>
      <c r="B41" s="285"/>
      <c r="C41" s="239"/>
    </row>
    <row r="42" spans="1:3" ht="15.75" customHeight="1">
      <c r="A42" s="301" t="s">
        <v>413</v>
      </c>
      <c r="B42" s="250"/>
      <c r="C42" s="238">
        <f>C38+C39+C40</f>
        <v>1196474</v>
      </c>
    </row>
    <row r="43" spans="1:3" ht="6" customHeight="1" thickBot="1">
      <c r="A43" s="286"/>
      <c r="B43" s="287"/>
      <c r="C43" s="240"/>
    </row>
    <row r="44" spans="1:4" s="149" customFormat="1" ht="15">
      <c r="A44" s="246"/>
      <c r="B44" s="247"/>
      <c r="C44" s="238"/>
      <c r="D44" s="152"/>
    </row>
    <row r="45" spans="1:4" s="149" customFormat="1" ht="12.75" customHeight="1">
      <c r="A45" s="246"/>
      <c r="B45" s="247"/>
      <c r="C45" s="258"/>
      <c r="D45" s="152"/>
    </row>
    <row r="46" ht="15">
      <c r="C46" s="257"/>
    </row>
    <row r="47" ht="15">
      <c r="C47" s="252"/>
    </row>
    <row r="48" ht="15">
      <c r="C48" s="252"/>
    </row>
    <row r="49" ht="15">
      <c r="C49" s="252"/>
    </row>
    <row r="50" ht="15">
      <c r="C50" s="252"/>
    </row>
    <row r="53" ht="3.75" customHeight="1"/>
    <row r="55" ht="4.5" customHeight="1"/>
    <row r="62" ht="3.75" customHeight="1"/>
    <row r="64" ht="3.75" customHeight="1"/>
    <row r="65" spans="1:4" s="149" customFormat="1" ht="15.75">
      <c r="A65" s="246"/>
      <c r="B65" s="247"/>
      <c r="C65" s="253"/>
      <c r="D65" s="152"/>
    </row>
    <row r="66" ht="5.25" customHeight="1"/>
    <row r="67" spans="1:4" s="149" customFormat="1" ht="15" customHeight="1">
      <c r="A67" s="246"/>
      <c r="B67" s="247"/>
      <c r="C67" s="253"/>
      <c r="D67" s="152"/>
    </row>
    <row r="68" ht="3.75" customHeight="1"/>
    <row r="70" ht="6" customHeight="1"/>
    <row r="72" ht="3.75" customHeight="1"/>
    <row r="73" ht="3.75" customHeight="1"/>
    <row r="77" ht="14.25" customHeight="1"/>
    <row r="80" ht="6" customHeight="1"/>
    <row r="81" ht="15.75">
      <c r="D81" s="154"/>
    </row>
    <row r="86" ht="5.25" customHeight="1"/>
    <row r="87" spans="1:4" s="149" customFormat="1" ht="15.75">
      <c r="A87" s="246"/>
      <c r="B87" s="247"/>
      <c r="C87" s="253"/>
      <c r="D87" s="152"/>
    </row>
    <row r="88" spans="1:4" s="149" customFormat="1" ht="9.75" customHeight="1">
      <c r="A88" s="246"/>
      <c r="B88" s="247"/>
      <c r="C88" s="253"/>
      <c r="D88" s="152"/>
    </row>
    <row r="89" ht="15.75">
      <c r="D89" s="154"/>
    </row>
    <row r="91" ht="3.75" customHeight="1"/>
    <row r="93" ht="9.75" customHeight="1"/>
    <row r="94" spans="1:4" s="149" customFormat="1" ht="15.75">
      <c r="A94" s="246"/>
      <c r="B94" s="247"/>
      <c r="C94" s="253"/>
      <c r="D94" s="154"/>
    </row>
    <row r="95" spans="1:4" s="149" customFormat="1" ht="8.25" customHeight="1">
      <c r="A95" s="246"/>
      <c r="B95" s="247"/>
      <c r="C95" s="253"/>
      <c r="D95" s="154"/>
    </row>
    <row r="96" ht="15.75">
      <c r="D96" s="254"/>
    </row>
    <row r="97" ht="6" customHeight="1"/>
    <row r="98" spans="1:4" s="149" customFormat="1" ht="15.75">
      <c r="A98" s="246"/>
      <c r="B98" s="247"/>
      <c r="C98" s="253"/>
      <c r="D98" s="152"/>
    </row>
    <row r="99" spans="1:4" s="149" customFormat="1" ht="5.25" customHeight="1">
      <c r="A99" s="246"/>
      <c r="B99" s="247"/>
      <c r="C99" s="253"/>
      <c r="D99" s="152"/>
    </row>
    <row r="100" spans="1:4" s="149" customFormat="1" ht="15.75">
      <c r="A100" s="246"/>
      <c r="B100" s="247"/>
      <c r="C100" s="253"/>
      <c r="D100" s="152"/>
    </row>
    <row r="101" spans="1:4" s="149" customFormat="1" ht="15.75">
      <c r="A101" s="246"/>
      <c r="B101" s="247"/>
      <c r="C101" s="253"/>
      <c r="D101" s="152"/>
    </row>
    <row r="102" spans="1:4" s="149" customFormat="1" ht="15.75">
      <c r="A102" s="246"/>
      <c r="B102" s="247"/>
      <c r="C102" s="253"/>
      <c r="D102" s="152"/>
    </row>
    <row r="103" spans="1:4" s="149" customFormat="1" ht="3.75" customHeight="1">
      <c r="A103" s="246"/>
      <c r="B103" s="247"/>
      <c r="C103" s="253"/>
      <c r="D103" s="152"/>
    </row>
    <row r="104" spans="1:4" s="149" customFormat="1" ht="15.75">
      <c r="A104" s="246"/>
      <c r="B104" s="247"/>
      <c r="C104" s="253"/>
      <c r="D104" s="152"/>
    </row>
    <row r="105" spans="1:4" s="149" customFormat="1" ht="6.75" customHeight="1">
      <c r="A105" s="246"/>
      <c r="B105" s="247"/>
      <c r="C105" s="253"/>
      <c r="D105" s="152"/>
    </row>
    <row r="106" spans="1:4" s="149" customFormat="1" ht="15.75">
      <c r="A106" s="246"/>
      <c r="B106" s="247"/>
      <c r="C106" s="253"/>
      <c r="D106" s="152"/>
    </row>
    <row r="107" spans="1:4" s="149" customFormat="1" ht="15.75">
      <c r="A107" s="246"/>
      <c r="B107" s="247"/>
      <c r="C107" s="253"/>
      <c r="D107" s="152"/>
    </row>
    <row r="108" spans="1:4" s="149" customFormat="1" ht="9.75" customHeight="1">
      <c r="A108" s="246"/>
      <c r="B108" s="247"/>
      <c r="C108" s="253"/>
      <c r="D108" s="152"/>
    </row>
    <row r="109" spans="1:4" s="149" customFormat="1" ht="15.75">
      <c r="A109" s="246"/>
      <c r="B109" s="247"/>
      <c r="C109" s="253"/>
      <c r="D109" s="152"/>
    </row>
    <row r="110" spans="1:4" s="149" customFormat="1" ht="3.75" customHeight="1">
      <c r="A110" s="246"/>
      <c r="B110" s="247"/>
      <c r="C110" s="253"/>
      <c r="D110" s="152"/>
    </row>
    <row r="111" ht="15.75">
      <c r="D111" s="153"/>
    </row>
    <row r="112" ht="6" customHeight="1"/>
    <row r="114" ht="3.75" customHeight="1"/>
    <row r="115" ht="15.75">
      <c r="D115" s="154"/>
    </row>
  </sheetData>
  <printOptions/>
  <pageMargins left="0.75" right="0.75" top="1" bottom="1" header="0.5" footer="0.5"/>
  <pageSetup fitToHeight="2" horizontalDpi="600" verticalDpi="600" orientation="portrait" paperSize="9" scale="43" r:id="rId1"/>
  <rowBreaks count="1" manualBreakCount="1">
    <brk id="46" max="255" man="1"/>
  </rowBreaks>
  <colBreaks count="1" manualBreakCount="1">
    <brk id="3" min="1" max="1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W62"/>
  <sheetViews>
    <sheetView workbookViewId="0" topLeftCell="T5">
      <selection activeCell="X5" sqref="X1:X16384"/>
    </sheetView>
  </sheetViews>
  <sheetFormatPr defaultColWidth="9.140625" defaultRowHeight="12.75" outlineLevelCol="1"/>
  <cols>
    <col min="1" max="1" width="38.28125" style="125" customWidth="1"/>
    <col min="2" max="2" width="22.28125" style="125" customWidth="1"/>
    <col min="3" max="3" width="15.140625" style="125" customWidth="1"/>
    <col min="4" max="20" width="21.140625" style="125" customWidth="1" outlineLevel="1"/>
    <col min="21" max="21" width="5.421875" style="125" customWidth="1" outlineLevel="1"/>
    <col min="22" max="23" width="20.8515625" style="125" customWidth="1"/>
    <col min="24" max="16384" width="9.140625" style="125" customWidth="1"/>
  </cols>
  <sheetData>
    <row r="1" spans="1:2" ht="20.25">
      <c r="A1" s="99" t="s">
        <v>152</v>
      </c>
      <c r="B1" s="100"/>
    </row>
    <row r="2" ht="12.75"/>
    <row r="3" spans="1:2" ht="12.75">
      <c r="A3" s="101" t="s">
        <v>103</v>
      </c>
      <c r="B3" s="102" t="s">
        <v>100</v>
      </c>
    </row>
    <row r="4" spans="1:2" ht="12.75">
      <c r="A4" s="101" t="s">
        <v>105</v>
      </c>
      <c r="B4" s="102" t="s">
        <v>100</v>
      </c>
    </row>
    <row r="5" spans="1:2" ht="12.75">
      <c r="A5" s="101" t="s">
        <v>101</v>
      </c>
      <c r="B5" s="102" t="s">
        <v>100</v>
      </c>
    </row>
    <row r="6" spans="1:2" ht="12.75">
      <c r="A6" s="101" t="s">
        <v>104</v>
      </c>
      <c r="B6" s="103" t="s">
        <v>100</v>
      </c>
    </row>
    <row r="7" spans="1:2" ht="12.75">
      <c r="A7" s="101" t="s">
        <v>106</v>
      </c>
      <c r="B7" s="118" t="s">
        <v>153</v>
      </c>
    </row>
    <row r="8" ht="12.75"/>
    <row r="9" spans="1:3" ht="12.75">
      <c r="A9" s="104" t="s">
        <v>233</v>
      </c>
      <c r="B9" s="88" t="s">
        <v>234</v>
      </c>
      <c r="C9" s="135"/>
    </row>
    <row r="10" spans="1:3" ht="12.75">
      <c r="A10" s="104" t="s">
        <v>235</v>
      </c>
      <c r="B10" s="88" t="s">
        <v>236</v>
      </c>
      <c r="C10" s="135"/>
    </row>
    <row r="11" spans="1:3" ht="12.75">
      <c r="A11" s="104" t="s">
        <v>237</v>
      </c>
      <c r="B11" s="89" t="s">
        <v>238</v>
      </c>
      <c r="C11" s="135"/>
    </row>
    <row r="12" spans="1:3" ht="12.75">
      <c r="A12" s="104" t="s">
        <v>239</v>
      </c>
      <c r="B12" s="88" t="s">
        <v>240</v>
      </c>
      <c r="C12" s="135"/>
    </row>
    <row r="13" spans="1:8" ht="12.75">
      <c r="A13" s="135"/>
      <c r="B13" s="136"/>
      <c r="C13" s="135"/>
      <c r="G13" s="67"/>
      <c r="H13" s="67"/>
    </row>
    <row r="14" spans="1:21" ht="12.75">
      <c r="A14" s="115" t="s">
        <v>241</v>
      </c>
      <c r="B14" s="90" t="s">
        <v>102</v>
      </c>
      <c r="C14" s="90" t="s">
        <v>110</v>
      </c>
      <c r="D14" s="116" t="s">
        <v>242</v>
      </c>
      <c r="E14" s="119" t="s">
        <v>243</v>
      </c>
      <c r="F14" s="116" t="s">
        <v>107</v>
      </c>
      <c r="G14" s="119" t="s">
        <v>154</v>
      </c>
      <c r="H14" s="116" t="s">
        <v>108</v>
      </c>
      <c r="I14" s="116" t="s">
        <v>109</v>
      </c>
      <c r="J14" s="119" t="s">
        <v>244</v>
      </c>
      <c r="K14" s="119" t="s">
        <v>245</v>
      </c>
      <c r="L14" s="119" t="s">
        <v>246</v>
      </c>
      <c r="M14" s="119" t="s">
        <v>247</v>
      </c>
      <c r="N14" s="119" t="s">
        <v>248</v>
      </c>
      <c r="O14" s="119" t="s">
        <v>249</v>
      </c>
      <c r="P14" s="119" t="s">
        <v>250</v>
      </c>
      <c r="Q14" s="119" t="s">
        <v>251</v>
      </c>
      <c r="R14" s="119" t="s">
        <v>252</v>
      </c>
      <c r="S14" s="119" t="s">
        <v>253</v>
      </c>
      <c r="T14" s="119" t="s">
        <v>254</v>
      </c>
      <c r="U14" s="119"/>
    </row>
    <row r="15" spans="1:23" ht="12.75">
      <c r="A15" s="105" t="s">
        <v>113</v>
      </c>
      <c r="B15" s="106"/>
      <c r="C15" s="106"/>
      <c r="D15" s="116" t="s">
        <v>111</v>
      </c>
      <c r="E15" s="116" t="s">
        <v>112</v>
      </c>
      <c r="F15" s="120" t="s">
        <v>255</v>
      </c>
      <c r="G15" s="120" t="s">
        <v>256</v>
      </c>
      <c r="H15" s="120" t="s">
        <v>257</v>
      </c>
      <c r="I15" s="120" t="s">
        <v>258</v>
      </c>
      <c r="J15" s="120" t="s">
        <v>259</v>
      </c>
      <c r="K15" s="120"/>
      <c r="L15" s="120" t="s">
        <v>260</v>
      </c>
      <c r="M15" s="120" t="s">
        <v>261</v>
      </c>
      <c r="N15" s="120" t="s">
        <v>262</v>
      </c>
      <c r="O15" s="120" t="s">
        <v>263</v>
      </c>
      <c r="P15" s="120" t="s">
        <v>264</v>
      </c>
      <c r="Q15" s="120" t="s">
        <v>265</v>
      </c>
      <c r="R15" s="120" t="s">
        <v>266</v>
      </c>
      <c r="S15" s="120" t="s">
        <v>267</v>
      </c>
      <c r="T15" s="120" t="s">
        <v>268</v>
      </c>
      <c r="U15" s="116"/>
      <c r="V15" s="120" t="s">
        <v>269</v>
      </c>
      <c r="W15" s="120" t="s">
        <v>294</v>
      </c>
    </row>
    <row r="16" spans="1:23" ht="12.75">
      <c r="A16" s="121" t="s">
        <v>114</v>
      </c>
      <c r="B16" s="106">
        <v>4149858811.22</v>
      </c>
      <c r="C16" s="10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2">
        <f>SUM(V17:V18)</f>
        <v>4149858811.2200003</v>
      </c>
      <c r="W16" s="112">
        <v>3632102671.9500003</v>
      </c>
    </row>
    <row r="17" spans="1:23" ht="12.75">
      <c r="A17" s="122" t="s">
        <v>114</v>
      </c>
      <c r="B17" s="106">
        <v>4154977497.69</v>
      </c>
      <c r="C17" s="106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>
        <f>B17+SUM(D17:U17)</f>
        <v>4154977497.69</v>
      </c>
      <c r="W17" s="112">
        <v>3632122050.36</v>
      </c>
    </row>
    <row r="18" spans="1:23" ht="12.75">
      <c r="A18" s="122" t="s">
        <v>115</v>
      </c>
      <c r="B18" s="106">
        <v>-5118686.47</v>
      </c>
      <c r="C18" s="106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>
        <f>B18+SUM(D18:U18)</f>
        <v>-5118686.47</v>
      </c>
      <c r="W18" s="112">
        <v>-19378.41</v>
      </c>
    </row>
    <row r="19" spans="1:23" ht="12.75">
      <c r="A19" s="107" t="s">
        <v>116</v>
      </c>
      <c r="B19" s="106">
        <v>51093565.74</v>
      </c>
      <c r="C19" s="106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>
        <f>B19+SUM(D19:U19)</f>
        <v>51093565.74</v>
      </c>
      <c r="W19" s="112">
        <v>51093565.74</v>
      </c>
    </row>
    <row r="20" spans="1:23" ht="12.75">
      <c r="A20" s="107" t="s">
        <v>117</v>
      </c>
      <c r="B20" s="106">
        <v>334648991.91</v>
      </c>
      <c r="C20" s="106"/>
      <c r="D20" s="112"/>
      <c r="E20" s="112"/>
      <c r="F20" s="112"/>
      <c r="G20" s="112"/>
      <c r="H20" s="112"/>
      <c r="I20" s="112">
        <v>-50000000</v>
      </c>
      <c r="J20" s="112"/>
      <c r="K20" s="112">
        <f>'[11]模版1-科目余额发生额'!$L$11</f>
        <v>29174.902147999997</v>
      </c>
      <c r="L20" s="112"/>
      <c r="M20" s="112"/>
      <c r="N20" s="112">
        <f>-N33</f>
        <v>-3438569.87</v>
      </c>
      <c r="O20" s="112"/>
      <c r="P20" s="112"/>
      <c r="Q20" s="112"/>
      <c r="R20" s="112"/>
      <c r="S20" s="112"/>
      <c r="T20" s="112">
        <f>'[11]模版2-现金流量'!$I$4</f>
        <v>-4197798.72</v>
      </c>
      <c r="U20" s="112"/>
      <c r="V20" s="112">
        <f>B20+SUM(D20:U20)</f>
        <v>277041798.22214806</v>
      </c>
      <c r="W20" s="112">
        <v>216897227.96825397</v>
      </c>
    </row>
    <row r="21" spans="1:23" ht="12.75">
      <c r="A21" s="107" t="s">
        <v>118</v>
      </c>
      <c r="B21" s="106">
        <v>4535601368.87</v>
      </c>
      <c r="C21" s="106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37">
        <f>SUM(V17:V20)</f>
        <v>4477994175.182148</v>
      </c>
      <c r="W21" s="137">
        <v>3900093465.658254</v>
      </c>
    </row>
    <row r="22" spans="1:23" ht="12.75">
      <c r="A22" s="107" t="s">
        <v>119</v>
      </c>
      <c r="B22" s="106">
        <v>-2283489257.23</v>
      </c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>
        <f>B22+SUM(D22:U22)</f>
        <v>-2283489257.23</v>
      </c>
      <c r="W22" s="112">
        <v>-2001440960.17</v>
      </c>
    </row>
    <row r="23" spans="1:23" ht="12.75">
      <c r="A23" s="107" t="s">
        <v>120</v>
      </c>
      <c r="B23" s="106">
        <v>-279235057.34</v>
      </c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>
        <f>B23+SUM(D23:U23)</f>
        <v>-279235057.34</v>
      </c>
      <c r="W23" s="112">
        <v>-241218133.89</v>
      </c>
    </row>
    <row r="24" spans="1:23" ht="12.75">
      <c r="A24" s="107" t="s">
        <v>121</v>
      </c>
      <c r="B24" s="106">
        <v>-584048576.79</v>
      </c>
      <c r="C24" s="106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>
        <f>B24+SUM(D24:U24)</f>
        <v>-584048576.79</v>
      </c>
      <c r="W24" s="112">
        <v>-531383965.15</v>
      </c>
    </row>
    <row r="25" spans="1:23" ht="12.75">
      <c r="A25" s="107" t="s">
        <v>122</v>
      </c>
      <c r="B25" s="106">
        <v>-1317678710.83</v>
      </c>
      <c r="C25" s="106"/>
      <c r="D25" s="112">
        <f>-D35</f>
        <v>-2183500</v>
      </c>
      <c r="E25" s="112">
        <f>-E35</f>
        <v>-16842524</v>
      </c>
      <c r="F25" s="112"/>
      <c r="G25" s="112"/>
      <c r="H25" s="112"/>
      <c r="I25" s="112">
        <f>-I20</f>
        <v>50000000</v>
      </c>
      <c r="J25" s="112">
        <v>-37858.89</v>
      </c>
      <c r="K25" s="112"/>
      <c r="L25" s="112">
        <f>-L36</f>
        <v>-19986941.93</v>
      </c>
      <c r="M25" s="112">
        <f>12000000+'[12]Sheet1'!$D$21</f>
        <v>12805457.72</v>
      </c>
      <c r="N25" s="112"/>
      <c r="O25" s="112"/>
      <c r="P25" s="112"/>
      <c r="Q25" s="112">
        <f>-Q47</f>
        <v>12662000</v>
      </c>
      <c r="R25" s="112"/>
      <c r="S25" s="112"/>
      <c r="T25" s="112">
        <f>-T20</f>
        <v>4197798.72</v>
      </c>
      <c r="U25" s="112"/>
      <c r="V25" s="112">
        <f>B25+SUM(D25:U25)</f>
        <v>-1277064279.21</v>
      </c>
      <c r="W25" s="112">
        <v>-1055729292.65</v>
      </c>
    </row>
    <row r="26" spans="1:23" ht="12.75">
      <c r="A26" s="107" t="s">
        <v>123</v>
      </c>
      <c r="B26" s="106">
        <v>-4464451602.19</v>
      </c>
      <c r="C26" s="106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37">
        <f>SUM(V22:V25)</f>
        <v>-4423837170.57</v>
      </c>
      <c r="W26" s="137">
        <v>-3829772351.86</v>
      </c>
    </row>
    <row r="27" spans="1:23" ht="12.75">
      <c r="A27" s="108" t="s">
        <v>124</v>
      </c>
      <c r="B27" s="110">
        <v>71149766.68</v>
      </c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37">
        <f>V21+V26</f>
        <v>54157004.612148285</v>
      </c>
      <c r="W27" s="137">
        <v>70321113.79825401</v>
      </c>
    </row>
    <row r="28" spans="1:23" ht="12.75">
      <c r="A28" s="105" t="s">
        <v>125</v>
      </c>
      <c r="B28" s="106"/>
      <c r="C28" s="106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ht="12.75">
      <c r="A29" s="107" t="s">
        <v>126</v>
      </c>
      <c r="B29" s="106">
        <v>10420.29</v>
      </c>
      <c r="C29" s="106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2">
        <f>B29+SUM(D29:U29)</f>
        <v>10420.29</v>
      </c>
      <c r="W29" s="112">
        <v>10383.97</v>
      </c>
    </row>
    <row r="30" spans="1:23" ht="12.75">
      <c r="A30" s="107" t="s">
        <v>127</v>
      </c>
      <c r="B30" s="106">
        <v>-124206.8</v>
      </c>
      <c r="C30" s="106"/>
      <c r="D30" s="112"/>
      <c r="E30" s="112"/>
      <c r="F30" s="112"/>
      <c r="G30" s="112"/>
      <c r="H30" s="112">
        <f>-B30</f>
        <v>124206.8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>
        <f>B30+SUM(D30:U30)</f>
        <v>0</v>
      </c>
      <c r="W30" s="112">
        <v>0</v>
      </c>
    </row>
    <row r="31" spans="1:23" ht="12.75">
      <c r="A31" s="107" t="s">
        <v>128</v>
      </c>
      <c r="B31" s="106">
        <v>369329</v>
      </c>
      <c r="C31" s="106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>
        <f>B31+SUM(D31:U31)</f>
        <v>369329</v>
      </c>
      <c r="W31" s="112">
        <v>366879</v>
      </c>
    </row>
    <row r="32" spans="1:23" ht="12.75">
      <c r="A32" s="107" t="s">
        <v>129</v>
      </c>
      <c r="B32" s="106"/>
      <c r="C32" s="106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>
        <f>B32+SUM(D32:U32)</f>
        <v>0</v>
      </c>
      <c r="W32" s="112">
        <v>0</v>
      </c>
    </row>
    <row r="33" spans="1:23" ht="12.75">
      <c r="A33" s="107" t="s">
        <v>130</v>
      </c>
      <c r="B33" s="106">
        <v>1994655</v>
      </c>
      <c r="C33" s="106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>
        <f>-'[13]Sheet1'!$B$13-B33</f>
        <v>3438569.87</v>
      </c>
      <c r="O33" s="112"/>
      <c r="P33" s="112"/>
      <c r="Q33" s="112"/>
      <c r="R33" s="112"/>
      <c r="S33" s="112"/>
      <c r="T33" s="112"/>
      <c r="U33" s="112"/>
      <c r="V33" s="112">
        <f>B33+SUM(D33:U33)</f>
        <v>5433224.87</v>
      </c>
      <c r="W33" s="112">
        <v>5415194.91</v>
      </c>
    </row>
    <row r="34" spans="1:23" ht="12.75">
      <c r="A34" s="107" t="s">
        <v>131</v>
      </c>
      <c r="B34" s="106">
        <v>2250197.49</v>
      </c>
      <c r="C34" s="106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37">
        <f>SUM(V29:V33)</f>
        <v>5812974.16</v>
      </c>
      <c r="W34" s="137">
        <v>5792457.88</v>
      </c>
    </row>
    <row r="35" spans="1:23" ht="12.75">
      <c r="A35" s="107" t="s">
        <v>132</v>
      </c>
      <c r="B35" s="106">
        <v>-126145176.65</v>
      </c>
      <c r="C35" s="106"/>
      <c r="D35" s="112">
        <v>2183500</v>
      </c>
      <c r="E35" s="112">
        <v>16842524</v>
      </c>
      <c r="F35" s="112"/>
      <c r="G35" s="112"/>
      <c r="H35" s="112"/>
      <c r="I35" s="112"/>
      <c r="J35" s="112"/>
      <c r="K35" s="112"/>
      <c r="L35" s="112"/>
      <c r="M35" s="112">
        <f>-M25</f>
        <v>-12805457.72</v>
      </c>
      <c r="N35" s="112"/>
      <c r="O35" s="112">
        <f>'[9]底稿-集团'!$S$22*1000</f>
        <v>-6238431.12</v>
      </c>
      <c r="P35" s="112"/>
      <c r="Q35" s="112"/>
      <c r="R35" s="112"/>
      <c r="S35" s="112"/>
      <c r="T35" s="112"/>
      <c r="U35" s="112"/>
      <c r="V35" s="112">
        <f>B35+SUM(D35:U35)</f>
        <v>-126163041.49000001</v>
      </c>
      <c r="W35" s="112">
        <v>-115201269.02000001</v>
      </c>
    </row>
    <row r="36" spans="1:23" ht="12.75">
      <c r="A36" s="107" t="s">
        <v>133</v>
      </c>
      <c r="B36" s="106">
        <v>-19986941.93</v>
      </c>
      <c r="C36" s="106"/>
      <c r="D36" s="112"/>
      <c r="E36" s="112"/>
      <c r="F36" s="112"/>
      <c r="G36" s="112"/>
      <c r="H36" s="112"/>
      <c r="I36" s="112"/>
      <c r="J36" s="112"/>
      <c r="K36" s="112"/>
      <c r="L36" s="112">
        <f>-B36</f>
        <v>19986941.93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>
        <f>B36+SUM(D36:U36)</f>
        <v>0</v>
      </c>
      <c r="W36" s="112">
        <v>0</v>
      </c>
    </row>
    <row r="37" spans="1:23" ht="12.75">
      <c r="A37" s="107" t="s">
        <v>134</v>
      </c>
      <c r="B37" s="106">
        <v>-312567500</v>
      </c>
      <c r="C37" s="106"/>
      <c r="D37" s="114"/>
      <c r="E37" s="114"/>
      <c r="F37" s="114"/>
      <c r="G37" s="114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4"/>
      <c r="V37" s="112">
        <f>B37+SUM(D37:U37)</f>
        <v>-312567500</v>
      </c>
      <c r="W37" s="112">
        <v>-293567500</v>
      </c>
    </row>
    <row r="38" spans="1:23" ht="12.75">
      <c r="A38" s="107" t="s">
        <v>135</v>
      </c>
      <c r="B38" s="106">
        <v>-1638937.5</v>
      </c>
      <c r="C38" s="106"/>
      <c r="D38" s="112"/>
      <c r="E38" s="112"/>
      <c r="F38" s="112"/>
      <c r="G38" s="112">
        <f>-B38</f>
        <v>1638937.5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>
        <f>B38+SUM(D38:U38)</f>
        <v>0</v>
      </c>
      <c r="W38" s="112">
        <v>0</v>
      </c>
    </row>
    <row r="39" spans="1:23" ht="12.75">
      <c r="A39" s="107" t="s">
        <v>136</v>
      </c>
      <c r="B39" s="106">
        <v>-460338556.08</v>
      </c>
      <c r="C39" s="106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37">
        <f>SUM(V35:V38)</f>
        <v>-438730541.49</v>
      </c>
      <c r="W39" s="137">
        <v>-408768769.02</v>
      </c>
    </row>
    <row r="40" spans="1:23" ht="12.75">
      <c r="A40" s="108" t="s">
        <v>137</v>
      </c>
      <c r="B40" s="110">
        <v>-458088358.59</v>
      </c>
      <c r="C40" s="110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37">
        <f>V34+V39</f>
        <v>-432917567.33</v>
      </c>
      <c r="W40" s="137">
        <v>-402976311.14</v>
      </c>
    </row>
    <row r="41" spans="1:23" ht="12.75">
      <c r="A41" s="105" t="s">
        <v>138</v>
      </c>
      <c r="B41" s="106"/>
      <c r="C41" s="106"/>
      <c r="D41" s="113"/>
      <c r="E41" s="113"/>
      <c r="F41" s="113"/>
      <c r="G41" s="113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3"/>
      <c r="V41" s="113"/>
      <c r="W41" s="113"/>
    </row>
    <row r="42" spans="1:23" ht="12.75">
      <c r="A42" s="107" t="s">
        <v>139</v>
      </c>
      <c r="B42" s="106">
        <v>7563405.8</v>
      </c>
      <c r="C42" s="106"/>
      <c r="D42" s="114"/>
      <c r="E42" s="114"/>
      <c r="F42" s="114"/>
      <c r="G42" s="114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4"/>
      <c r="V42" s="112">
        <f>B42+SUM(D42:U42)</f>
        <v>7563405.8</v>
      </c>
      <c r="W42" s="112">
        <v>7185696.85</v>
      </c>
    </row>
    <row r="43" spans="1:23" ht="12.75">
      <c r="A43" s="107" t="s">
        <v>140</v>
      </c>
      <c r="B43" s="106">
        <v>576853062.5</v>
      </c>
      <c r="C43" s="106"/>
      <c r="D43" s="112"/>
      <c r="E43" s="112"/>
      <c r="F43" s="112"/>
      <c r="G43" s="112">
        <f>-G38</f>
        <v>-1638937.5</v>
      </c>
      <c r="H43" s="112"/>
      <c r="I43" s="112"/>
      <c r="J43" s="112"/>
      <c r="K43" s="112"/>
      <c r="L43" s="112"/>
      <c r="M43" s="112"/>
      <c r="N43" s="112"/>
      <c r="O43" s="112"/>
      <c r="P43" s="112">
        <v>-151875</v>
      </c>
      <c r="Q43" s="112"/>
      <c r="R43" s="112">
        <f>-R44</f>
        <v>-2250</v>
      </c>
      <c r="S43" s="112"/>
      <c r="T43" s="112"/>
      <c r="U43" s="112"/>
      <c r="V43" s="112">
        <f>B43+SUM(D43:U43)</f>
        <v>575060000</v>
      </c>
      <c r="W43" s="112">
        <v>475300000</v>
      </c>
    </row>
    <row r="44" spans="1:23" ht="12.75">
      <c r="A44" s="107" t="s">
        <v>141</v>
      </c>
      <c r="B44" s="106">
        <v>-2250</v>
      </c>
      <c r="C44" s="106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>
        <f>-B44</f>
        <v>2250</v>
      </c>
      <c r="S44" s="112"/>
      <c r="T44" s="112"/>
      <c r="U44" s="112"/>
      <c r="V44" s="112">
        <f>B44+SUM(D44:U44)</f>
        <v>0</v>
      </c>
      <c r="W44" s="112">
        <v>3841763.56</v>
      </c>
    </row>
    <row r="45" spans="1:23" ht="12.75">
      <c r="A45" s="107" t="s">
        <v>142</v>
      </c>
      <c r="B45" s="106">
        <v>584414218.3</v>
      </c>
      <c r="C45" s="106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37">
        <f>SUM(V42:V44)</f>
        <v>582623405.8</v>
      </c>
      <c r="W45" s="137">
        <v>486327460.41</v>
      </c>
    </row>
    <row r="46" spans="1:23" ht="12.75">
      <c r="A46" s="107" t="s">
        <v>143</v>
      </c>
      <c r="B46" s="106">
        <v>-299995500</v>
      </c>
      <c r="C46" s="106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>
        <v>-4500</v>
      </c>
      <c r="T46" s="112"/>
      <c r="U46" s="112"/>
      <c r="V46" s="112">
        <f>B46+SUM(D46:U46)</f>
        <v>-300000000</v>
      </c>
      <c r="W46" s="112">
        <v>-100000000</v>
      </c>
    </row>
    <row r="47" spans="1:23" ht="12.75">
      <c r="A47" s="107" t="s">
        <v>144</v>
      </c>
      <c r="B47" s="106">
        <v>-183276968.56</v>
      </c>
      <c r="C47" s="106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1">
        <v>-12662000</v>
      </c>
      <c r="R47" s="111"/>
      <c r="S47" s="111"/>
      <c r="T47" s="111"/>
      <c r="U47" s="114"/>
      <c r="V47" s="112">
        <f>B47+SUM(D47:U47)</f>
        <v>-195938968.56</v>
      </c>
      <c r="W47" s="112">
        <v>-190553602.40999997</v>
      </c>
    </row>
    <row r="48" spans="1:23" ht="12.75">
      <c r="A48" s="107" t="s">
        <v>145</v>
      </c>
      <c r="B48" s="106">
        <v>-55293856.34</v>
      </c>
      <c r="C48" s="106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>
        <f>B48+SUM(D48:U48)</f>
        <v>-55293856.34</v>
      </c>
      <c r="W48" s="112">
        <v>-59211425.49</v>
      </c>
    </row>
    <row r="49" spans="1:23" ht="12.75">
      <c r="A49" s="107" t="s">
        <v>146</v>
      </c>
      <c r="B49" s="106">
        <v>-538566324.9</v>
      </c>
      <c r="C49" s="106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37">
        <f>SUM(V46:V48)</f>
        <v>-551232824.9</v>
      </c>
      <c r="W49" s="137">
        <v>-349765027.9</v>
      </c>
    </row>
    <row r="50" spans="1:23" ht="12.75">
      <c r="A50" s="108" t="s">
        <v>147</v>
      </c>
      <c r="B50" s="110">
        <v>45847893.4</v>
      </c>
      <c r="C50" s="110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37">
        <f>V45+V49</f>
        <v>31390580.899999976</v>
      </c>
      <c r="W50" s="137">
        <v>136562432.51000005</v>
      </c>
    </row>
    <row r="51" spans="1:23" ht="12.75">
      <c r="A51" s="105" t="s">
        <v>148</v>
      </c>
      <c r="B51" s="106">
        <v>12734458.17</v>
      </c>
      <c r="C51" s="106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37">
        <f>SUM(V52:V54)</f>
        <v>-994942.51</v>
      </c>
      <c r="W51" s="137">
        <v>-633444.5699999994</v>
      </c>
    </row>
    <row r="52" spans="1:23" ht="12.75">
      <c r="A52" s="107" t="s">
        <v>189</v>
      </c>
      <c r="B52" s="106">
        <v>14313670.35</v>
      </c>
      <c r="C52" s="106"/>
      <c r="D52" s="112"/>
      <c r="E52" s="112"/>
      <c r="F52" s="106">
        <v>-20000000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>
        <f>B52+SUM(D52:U52)</f>
        <v>-5686329.65</v>
      </c>
      <c r="W52" s="112">
        <v>-5575637.92</v>
      </c>
    </row>
    <row r="53" spans="1:23" ht="12.75">
      <c r="A53" s="107" t="s">
        <v>149</v>
      </c>
      <c r="B53" s="106">
        <v>-1579212.21</v>
      </c>
      <c r="C53" s="106"/>
      <c r="D53" s="112"/>
      <c r="E53" s="112"/>
      <c r="F53" s="112"/>
      <c r="G53" s="112"/>
      <c r="H53" s="112">
        <f>-H30-H44</f>
        <v>-124206.8</v>
      </c>
      <c r="I53" s="112"/>
      <c r="J53" s="112"/>
      <c r="K53" s="112"/>
      <c r="L53" s="112"/>
      <c r="M53" s="112"/>
      <c r="N53" s="112"/>
      <c r="O53" s="112">
        <f>-O35</f>
        <v>6238431.12</v>
      </c>
      <c r="P53" s="112">
        <f>-P43</f>
        <v>151875</v>
      </c>
      <c r="Q53" s="112"/>
      <c r="R53" s="112"/>
      <c r="S53" s="112">
        <f>-S46</f>
        <v>4500</v>
      </c>
      <c r="T53" s="112"/>
      <c r="U53" s="112"/>
      <c r="V53" s="112">
        <f>B53+SUM(D53:U53)</f>
        <v>4691387.11</v>
      </c>
      <c r="W53" s="112">
        <v>4942193.31</v>
      </c>
    </row>
    <row r="54" spans="1:23" ht="12.75">
      <c r="A54" s="107" t="s">
        <v>150</v>
      </c>
      <c r="B54" s="106">
        <v>0.03</v>
      </c>
      <c r="C54" s="106"/>
      <c r="D54" s="114"/>
      <c r="E54" s="114"/>
      <c r="F54" s="106"/>
      <c r="G54" s="106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2">
        <f>B54+SUM(D54:U54)</f>
        <v>0.03</v>
      </c>
      <c r="W54" s="112">
        <v>0.04</v>
      </c>
    </row>
    <row r="55" spans="1:23" ht="12.75">
      <c r="A55" s="108" t="s">
        <v>190</v>
      </c>
      <c r="B55" s="110">
        <v>-328356240.34</v>
      </c>
      <c r="C55" s="110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>
        <f>V27+V40+V50+V51</f>
        <v>-348364924.3278517</v>
      </c>
      <c r="W55" s="113">
        <v>-196726209.40174592</v>
      </c>
    </row>
    <row r="56" spans="1:23" ht="12.75">
      <c r="A56" s="108" t="s">
        <v>191</v>
      </c>
      <c r="B56" s="106">
        <v>841016551.62</v>
      </c>
      <c r="C56" s="106"/>
      <c r="D56" s="113"/>
      <c r="E56" s="113"/>
      <c r="F56" s="113">
        <f>-F52</f>
        <v>20000000</v>
      </c>
      <c r="G56" s="113"/>
      <c r="H56" s="113"/>
      <c r="I56" s="113"/>
      <c r="J56" s="113">
        <f>-J25</f>
        <v>37858.89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>
        <f>SUM(B56:U56)</f>
        <v>861054410.51</v>
      </c>
      <c r="W56" s="113">
        <v>861054410.51</v>
      </c>
    </row>
    <row r="57" spans="1:23" ht="12.75">
      <c r="A57" s="108" t="s">
        <v>151</v>
      </c>
      <c r="B57" s="106">
        <v>512660311.28</v>
      </c>
      <c r="C57" s="106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3">
        <f>SUM(V55:V56)</f>
        <v>512689486.1821483</v>
      </c>
      <c r="W57" s="113">
        <v>664328201.1082541</v>
      </c>
    </row>
    <row r="58" ht="12.75"/>
    <row r="59" spans="1:23" ht="12.75">
      <c r="A59" s="138" t="s">
        <v>270</v>
      </c>
      <c r="V59" s="113">
        <v>861054410.50897</v>
      </c>
      <c r="W59" s="113">
        <v>861054410.50897</v>
      </c>
    </row>
    <row r="60" spans="1:23" ht="14.25">
      <c r="A60" s="138" t="s">
        <v>271</v>
      </c>
      <c r="V60" s="123">
        <f>V56-V59</f>
        <v>0.00102996826171875</v>
      </c>
      <c r="W60" s="123">
        <v>0.00102996826171875</v>
      </c>
    </row>
    <row r="61" spans="1:23" ht="12.75">
      <c r="A61" s="138" t="s">
        <v>272</v>
      </c>
      <c r="V61" s="113">
        <f>'[10]资产负债表'!$W$16</f>
        <v>412689486.182148</v>
      </c>
      <c r="W61" s="113">
        <v>664328201.1082541</v>
      </c>
    </row>
    <row r="62" spans="1:23" ht="14.25">
      <c r="A62" s="138" t="s">
        <v>273</v>
      </c>
      <c r="V62" s="123">
        <f>V57-V61</f>
        <v>100000000.0000003</v>
      </c>
      <c r="W62" s="123">
        <v>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64"/>
  <sheetViews>
    <sheetView workbookViewId="0" topLeftCell="A44">
      <selection activeCell="X5" sqref="X1:X16384"/>
    </sheetView>
  </sheetViews>
  <sheetFormatPr defaultColWidth="9.140625" defaultRowHeight="12.75"/>
  <cols>
    <col min="1" max="1" width="17.7109375" style="0" customWidth="1"/>
    <col min="2" max="2" width="12.28125" style="0" customWidth="1"/>
    <col min="3" max="3" width="16.140625" style="0" customWidth="1"/>
    <col min="4" max="4" width="17.57421875" style="0" customWidth="1"/>
    <col min="5" max="5" width="15.28125" style="0" customWidth="1"/>
    <col min="6" max="7" width="13.00390625" style="0" customWidth="1"/>
    <col min="8" max="8" width="22.28125" style="0" hidden="1" customWidth="1"/>
    <col min="9" max="9" width="10.8515625" style="0" hidden="1" customWidth="1"/>
    <col min="10" max="10" width="9.57421875" style="0" customWidth="1"/>
  </cols>
  <sheetData>
    <row r="1" spans="1:9" ht="12.75">
      <c r="A1" s="31" t="s">
        <v>274</v>
      </c>
      <c r="B1" s="31"/>
      <c r="C1" s="31"/>
      <c r="D1" s="31"/>
      <c r="E1" s="31"/>
      <c r="F1" s="31"/>
      <c r="G1" s="31"/>
      <c r="H1" s="31" t="s">
        <v>275</v>
      </c>
      <c r="I1" s="31" t="s">
        <v>276</v>
      </c>
    </row>
    <row r="2" spans="1:7" ht="12.75">
      <c r="A2" s="36" t="s">
        <v>277</v>
      </c>
      <c r="B2" s="126" t="s">
        <v>155</v>
      </c>
      <c r="C2" s="90" t="s">
        <v>156</v>
      </c>
      <c r="D2" s="90"/>
      <c r="E2" s="90"/>
      <c r="F2" s="117" t="s">
        <v>278</v>
      </c>
      <c r="G2" s="117" t="s">
        <v>276</v>
      </c>
    </row>
    <row r="3" spans="1:9" ht="12.75">
      <c r="A3" s="36"/>
      <c r="B3" s="127" t="s">
        <v>279</v>
      </c>
      <c r="C3" s="106">
        <f>'[14]Sheet1'!D45</f>
        <v>1565936.9</v>
      </c>
      <c r="D3" s="106" t="s">
        <v>157</v>
      </c>
      <c r="E3" s="106">
        <f>'[14]Sheet1'!E46+'[14]Sheet1'!D90</f>
        <v>231861282.52</v>
      </c>
      <c r="F3" s="128">
        <v>0.06</v>
      </c>
      <c r="G3" s="106">
        <f>'[14]Sheet1'!I46+'[14]Sheet1'!I90</f>
        <v>13911676.951200001</v>
      </c>
      <c r="H3" s="28"/>
      <c r="I3" s="28"/>
    </row>
    <row r="4" spans="1:9" ht="12.75">
      <c r="A4" s="36"/>
      <c r="B4" s="109">
        <v>2008</v>
      </c>
      <c r="C4" s="106">
        <f>'[14]Sheet1'!D44+'[14]Sheet1'!D90</f>
        <v>215336730.69000003</v>
      </c>
      <c r="D4" s="106" t="s">
        <v>158</v>
      </c>
      <c r="E4" s="106">
        <f>'[14]Sheet1'!F46</f>
        <v>40024038.75</v>
      </c>
      <c r="F4" s="128">
        <v>0.3</v>
      </c>
      <c r="G4" s="106">
        <f>'[14]Sheet1'!J46</f>
        <v>12007211.625</v>
      </c>
      <c r="H4" s="28"/>
      <c r="I4" s="28"/>
    </row>
    <row r="5" spans="1:9" ht="12.75">
      <c r="A5" s="36"/>
      <c r="B5" s="109">
        <v>2007</v>
      </c>
      <c r="C5" s="106">
        <f>'[14]Sheet1'!D43</f>
        <v>49573655.49</v>
      </c>
      <c r="D5" s="106" t="s">
        <v>159</v>
      </c>
      <c r="E5" s="106">
        <f>'[14]Sheet1'!G46</f>
        <v>14752950.3766666</v>
      </c>
      <c r="F5" s="128">
        <v>0.5</v>
      </c>
      <c r="G5" s="106">
        <f>'[14]Sheet1'!K46</f>
        <v>7376475.1883333</v>
      </c>
      <c r="H5" s="28"/>
      <c r="I5" s="28"/>
    </row>
    <row r="6" spans="1:9" ht="12.75">
      <c r="A6" s="36"/>
      <c r="B6" s="109">
        <v>2006</v>
      </c>
      <c r="C6" s="106">
        <f>'[14]Sheet1'!D42</f>
        <v>20924805.27</v>
      </c>
      <c r="D6" s="106" t="s">
        <v>160</v>
      </c>
      <c r="E6" s="106">
        <f>'[14]Sheet1'!H46</f>
        <v>4191424.53333333</v>
      </c>
      <c r="F6" s="128">
        <v>1</v>
      </c>
      <c r="G6" s="106">
        <f>'[14]Sheet1'!L46</f>
        <v>4191424.53333333</v>
      </c>
      <c r="H6" s="28"/>
      <c r="I6" s="28"/>
    </row>
    <row r="7" spans="1:9" ht="12.75">
      <c r="A7" s="36"/>
      <c r="B7" s="109">
        <v>2005</v>
      </c>
      <c r="C7" s="106">
        <f>'[14]Sheet1'!D41</f>
        <v>2409240.59</v>
      </c>
      <c r="D7" s="106"/>
      <c r="E7" s="106"/>
      <c r="F7" s="106"/>
      <c r="G7" s="106"/>
      <c r="H7" s="28"/>
      <c r="I7" s="28"/>
    </row>
    <row r="8" spans="1:9" ht="12.75">
      <c r="A8" s="36"/>
      <c r="B8" s="109">
        <v>2004</v>
      </c>
      <c r="C8" s="106">
        <f>'[14]Sheet1'!D40</f>
        <v>931344.05</v>
      </c>
      <c r="D8" s="106"/>
      <c r="E8" s="106"/>
      <c r="F8" s="106"/>
      <c r="G8" s="106"/>
      <c r="H8" s="28"/>
      <c r="I8" s="28"/>
    </row>
    <row r="9" spans="1:9" ht="12.75">
      <c r="A9" s="36"/>
      <c r="B9" s="109">
        <v>2003</v>
      </c>
      <c r="C9" s="106">
        <f>'[14]Sheet1'!D39</f>
        <v>67624.92</v>
      </c>
      <c r="D9" s="106"/>
      <c r="E9" s="106"/>
      <c r="F9" s="106"/>
      <c r="G9" s="106"/>
      <c r="H9" s="28"/>
      <c r="I9" s="28"/>
    </row>
    <row r="10" spans="1:9" ht="12.75">
      <c r="A10" s="36"/>
      <c r="B10" s="109">
        <v>2002</v>
      </c>
      <c r="C10" s="106">
        <f>'[14]Sheet1'!D38</f>
        <v>16639.76</v>
      </c>
      <c r="D10" s="106"/>
      <c r="E10" s="106"/>
      <c r="F10" s="106"/>
      <c r="G10" s="106"/>
      <c r="H10" s="28"/>
      <c r="I10" s="28"/>
    </row>
    <row r="11" spans="1:9" ht="12.75">
      <c r="A11" s="36"/>
      <c r="B11" s="109">
        <v>2001</v>
      </c>
      <c r="C11" s="106">
        <f>'[14]Sheet1'!D37</f>
        <v>1364.18</v>
      </c>
      <c r="D11" s="106"/>
      <c r="E11" s="106"/>
      <c r="F11" s="106"/>
      <c r="G11" s="106"/>
      <c r="H11" s="28"/>
      <c r="I11" s="28"/>
    </row>
    <row r="12" spans="1:9" ht="12.75">
      <c r="A12" s="36"/>
      <c r="B12" s="109">
        <v>2000</v>
      </c>
      <c r="C12" s="106">
        <f>'[14]Sheet1'!D36</f>
        <v>2219.46</v>
      </c>
      <c r="D12" s="106"/>
      <c r="E12" s="106"/>
      <c r="F12" s="106"/>
      <c r="G12" s="106"/>
      <c r="H12" s="28"/>
      <c r="I12" s="28"/>
    </row>
    <row r="13" spans="1:9" ht="12.75">
      <c r="A13" s="36"/>
      <c r="B13" s="109">
        <v>1999</v>
      </c>
      <c r="C13" s="106">
        <f>'[14]Sheet1'!D35</f>
        <v>134.87</v>
      </c>
      <c r="D13" s="106"/>
      <c r="E13" s="106"/>
      <c r="F13" s="106"/>
      <c r="G13" s="106"/>
      <c r="H13" s="28">
        <f>H14-C14</f>
        <v>7199414.590000033</v>
      </c>
      <c r="I13" s="28">
        <f>G14-I14</f>
        <v>2599543.805866532</v>
      </c>
    </row>
    <row r="14" spans="1:10" ht="12.75">
      <c r="A14" s="36"/>
      <c r="B14" s="129" t="s">
        <v>161</v>
      </c>
      <c r="C14" s="130">
        <f>SUM(C3:C13)</f>
        <v>290829696.18</v>
      </c>
      <c r="D14" s="130"/>
      <c r="E14" s="130">
        <f>SUM(E3:E13)</f>
        <v>290829696.1799999</v>
      </c>
      <c r="F14" s="130"/>
      <c r="G14" s="130">
        <f>SUM(G3:G13)</f>
        <v>37486788.29786663</v>
      </c>
      <c r="H14" s="28">
        <f>'[3]存货大类表'!$D$2</f>
        <v>298029110.77000004</v>
      </c>
      <c r="I14" s="28">
        <f>'[3]存货大类表'!$C$2</f>
        <v>34887244.492000096</v>
      </c>
      <c r="J14">
        <f>G14/E14</f>
        <v>0.1288960129940285</v>
      </c>
    </row>
    <row r="15" spans="1:11" ht="12.75">
      <c r="A15" s="36" t="s">
        <v>196</v>
      </c>
      <c r="B15" s="127" t="s">
        <v>197</v>
      </c>
      <c r="C15" s="106"/>
      <c r="D15" s="106" t="s">
        <v>157</v>
      </c>
      <c r="E15" s="106">
        <f>'[14]Sheet1'!E57</f>
        <v>226908440.033333</v>
      </c>
      <c r="F15" s="128">
        <v>0.05</v>
      </c>
      <c r="G15" s="106">
        <f>'[14]Sheet1'!I57</f>
        <v>11345422.00166665</v>
      </c>
      <c r="H15" s="28"/>
      <c r="I15" s="28"/>
      <c r="K15" s="134"/>
    </row>
    <row r="16" spans="1:11" ht="12.75">
      <c r="A16" s="36"/>
      <c r="B16" s="109">
        <v>2008</v>
      </c>
      <c r="C16" s="106">
        <f>'[14]Sheet1'!D56</f>
        <v>218925273.12</v>
      </c>
      <c r="D16" s="106" t="s">
        <v>158</v>
      </c>
      <c r="E16" s="106">
        <f>'[14]Sheet1'!F57</f>
        <v>17023317.44</v>
      </c>
      <c r="F16" s="128">
        <v>0.3</v>
      </c>
      <c r="G16" s="106">
        <f>'[14]Sheet1'!J57</f>
        <v>5106995.232</v>
      </c>
      <c r="H16" s="28"/>
      <c r="I16" s="28"/>
      <c r="K16" s="134"/>
    </row>
    <row r="17" spans="1:11" ht="12.75">
      <c r="A17" s="36"/>
      <c r="B17" s="109">
        <v>2007</v>
      </c>
      <c r="C17" s="106">
        <f>'[14]Sheet1'!D55</f>
        <v>23949500.74</v>
      </c>
      <c r="D17" s="106" t="s">
        <v>159</v>
      </c>
      <c r="E17" s="106">
        <f>'[14]Sheet1'!G57</f>
        <v>2180117.06666666</v>
      </c>
      <c r="F17" s="128">
        <v>0.4</v>
      </c>
      <c r="G17" s="106">
        <f>'[14]Sheet1'!K57</f>
        <v>872046.826666664</v>
      </c>
      <c r="H17" s="28"/>
      <c r="I17" s="28"/>
      <c r="K17" s="134"/>
    </row>
    <row r="18" spans="1:11" ht="12.75">
      <c r="A18" s="36"/>
      <c r="B18" s="109">
        <v>2006</v>
      </c>
      <c r="C18" s="106">
        <f>'[14]Sheet1'!D54</f>
        <v>3170950.84</v>
      </c>
      <c r="D18" s="106" t="s">
        <v>160</v>
      </c>
      <c r="E18" s="106">
        <f>'[14]Sheet1'!H57</f>
        <v>385177.28</v>
      </c>
      <c r="F18" s="128">
        <v>1</v>
      </c>
      <c r="G18" s="106">
        <f>'[14]Sheet1'!L57</f>
        <v>385177.28</v>
      </c>
      <c r="H18" s="28"/>
      <c r="I18" s="28"/>
      <c r="K18" s="134"/>
    </row>
    <row r="19" spans="1:9" ht="12.75">
      <c r="A19" s="36"/>
      <c r="B19" s="109">
        <v>2005</v>
      </c>
      <c r="C19" s="106">
        <f>'[14]Sheet1'!D53</f>
        <v>198449.52</v>
      </c>
      <c r="D19" s="106"/>
      <c r="E19" s="106"/>
      <c r="F19" s="106"/>
      <c r="G19" s="106"/>
      <c r="H19" s="28"/>
      <c r="I19" s="28"/>
    </row>
    <row r="20" spans="1:9" ht="12.75">
      <c r="A20" s="36"/>
      <c r="B20" s="109">
        <v>2004</v>
      </c>
      <c r="C20" s="106">
        <f>'[14]Sheet1'!D52</f>
        <v>195261.43</v>
      </c>
      <c r="D20" s="106"/>
      <c r="E20" s="106"/>
      <c r="F20" s="106"/>
      <c r="G20" s="106"/>
      <c r="H20" s="28"/>
      <c r="I20" s="28"/>
    </row>
    <row r="21" spans="1:9" ht="12.75">
      <c r="A21" s="36"/>
      <c r="B21" s="109">
        <v>2003</v>
      </c>
      <c r="C21" s="106">
        <f>'[14]Sheet1'!D51</f>
        <v>20493.1</v>
      </c>
      <c r="D21" s="106"/>
      <c r="E21" s="106"/>
      <c r="F21" s="106"/>
      <c r="G21" s="106"/>
      <c r="H21" s="28"/>
      <c r="I21" s="28"/>
    </row>
    <row r="22" spans="1:9" ht="12.75">
      <c r="A22" s="36"/>
      <c r="B22" s="109">
        <v>2002</v>
      </c>
      <c r="C22" s="106">
        <f>'[14]Sheet1'!D50</f>
        <v>5730.06</v>
      </c>
      <c r="D22" s="106"/>
      <c r="E22" s="106"/>
      <c r="F22" s="106"/>
      <c r="G22" s="106"/>
      <c r="H22" s="28"/>
      <c r="I22" s="28"/>
    </row>
    <row r="23" spans="1:9" ht="12.75">
      <c r="A23" s="36"/>
      <c r="B23" s="109">
        <v>2001</v>
      </c>
      <c r="C23" s="106">
        <f>'[14]Sheet1'!D49</f>
        <v>1327.92</v>
      </c>
      <c r="D23" s="106"/>
      <c r="E23" s="106"/>
      <c r="F23" s="106"/>
      <c r="G23" s="106"/>
      <c r="H23" s="28"/>
      <c r="I23" s="28"/>
    </row>
    <row r="24" spans="1:9" ht="12.75">
      <c r="A24" s="36"/>
      <c r="B24" s="109">
        <v>2000</v>
      </c>
      <c r="C24" s="106">
        <f>'[14]Sheet1'!D48</f>
        <v>85.61</v>
      </c>
      <c r="D24" s="106"/>
      <c r="E24" s="106"/>
      <c r="F24" s="106"/>
      <c r="G24" s="106"/>
      <c r="H24" s="28"/>
      <c r="I24" s="28"/>
    </row>
    <row r="25" spans="1:9" ht="12.75">
      <c r="A25" s="36"/>
      <c r="B25" s="109">
        <v>1999</v>
      </c>
      <c r="C25" s="106">
        <f>'[14]Sheet1'!D47</f>
        <v>29979.48</v>
      </c>
      <c r="D25" s="106"/>
      <c r="E25" s="106"/>
      <c r="F25" s="106"/>
      <c r="G25" s="106"/>
      <c r="H25" s="28">
        <f>H26-C26</f>
        <v>-56145437.84000003</v>
      </c>
      <c r="I25" s="28">
        <f>G26-I26</f>
        <v>1671026.1193333156</v>
      </c>
    </row>
    <row r="26" spans="1:10" ht="12.75">
      <c r="A26" s="36"/>
      <c r="B26" s="129" t="s">
        <v>161</v>
      </c>
      <c r="C26" s="130">
        <f>SUM(C15:C25)</f>
        <v>246497051.82000002</v>
      </c>
      <c r="D26" s="130"/>
      <c r="E26" s="130">
        <f>SUM(E15:E25)</f>
        <v>246497051.81999967</v>
      </c>
      <c r="F26" s="130"/>
      <c r="G26" s="130">
        <f>SUM(G15:G25)</f>
        <v>17709641.340333316</v>
      </c>
      <c r="H26" s="28">
        <f>'[3]存货大类表'!$D$3</f>
        <v>190351613.98</v>
      </c>
      <c r="I26" s="28">
        <f>'[3]存货大类表'!$C$3</f>
        <v>16038615.221</v>
      </c>
      <c r="J26">
        <f>G26/E26</f>
        <v>0.07184524605700146</v>
      </c>
    </row>
    <row r="27" spans="1:11" ht="12.75">
      <c r="A27" s="36" t="s">
        <v>280</v>
      </c>
      <c r="B27" s="127" t="s">
        <v>281</v>
      </c>
      <c r="C27" s="106"/>
      <c r="D27" s="106" t="s">
        <v>157</v>
      </c>
      <c r="E27" s="106">
        <f>'[14]Sheet1'!E68</f>
        <v>20222243.84</v>
      </c>
      <c r="F27" s="128">
        <v>0.1</v>
      </c>
      <c r="G27" s="106">
        <f>'[14]Sheet1'!I68</f>
        <v>2022224.384</v>
      </c>
      <c r="H27" s="28"/>
      <c r="I27" s="28"/>
      <c r="K27" s="134"/>
    </row>
    <row r="28" spans="2:11" ht="12.75">
      <c r="B28" s="109">
        <v>2008</v>
      </c>
      <c r="C28" s="106">
        <f>'[14]Sheet1'!D67</f>
        <v>18340976.01</v>
      </c>
      <c r="D28" s="106" t="s">
        <v>158</v>
      </c>
      <c r="E28" s="106">
        <f>'[14]Sheet1'!F68</f>
        <v>4600836.48333333</v>
      </c>
      <c r="F28" s="128">
        <v>0.35</v>
      </c>
      <c r="G28" s="106">
        <f>'[14]Sheet1'!J68</f>
        <v>1610292.7691666654</v>
      </c>
      <c r="K28" s="134"/>
    </row>
    <row r="29" spans="2:11" ht="12.75">
      <c r="B29" s="109">
        <v>2007</v>
      </c>
      <c r="C29" s="106">
        <f>'[14]Sheet1'!D66</f>
        <v>5643803.49</v>
      </c>
      <c r="D29" s="106" t="s">
        <v>159</v>
      </c>
      <c r="E29" s="106">
        <f>'[14]Sheet1'!G68</f>
        <v>1749703.19</v>
      </c>
      <c r="F29" s="128">
        <v>0.5</v>
      </c>
      <c r="G29" s="106">
        <f>'[14]Sheet1'!K68</f>
        <v>874851.595</v>
      </c>
      <c r="K29" s="134"/>
    </row>
    <row r="30" spans="1:11" ht="12.75">
      <c r="A30" s="36"/>
      <c r="B30" s="109">
        <v>2006</v>
      </c>
      <c r="C30" s="106">
        <f>'[14]Sheet1'!D65</f>
        <v>2514902.47</v>
      </c>
      <c r="D30" s="106" t="s">
        <v>160</v>
      </c>
      <c r="E30" s="106">
        <f>'[14]Sheet1'!H68</f>
        <v>430254.716666667</v>
      </c>
      <c r="F30" s="128">
        <v>1</v>
      </c>
      <c r="G30" s="106">
        <f>'[14]Sheet1'!L68</f>
        <v>430254.716666667</v>
      </c>
      <c r="H30" s="28"/>
      <c r="I30" s="28"/>
      <c r="K30" s="134"/>
    </row>
    <row r="31" spans="1:9" ht="12.75">
      <c r="A31" s="36"/>
      <c r="B31" s="109">
        <v>2005</v>
      </c>
      <c r="C31" s="106">
        <f>'[14]Sheet1'!D64</f>
        <v>219304.63</v>
      </c>
      <c r="D31" s="106"/>
      <c r="E31" s="106"/>
      <c r="F31" s="106"/>
      <c r="G31" s="106"/>
      <c r="H31" s="28"/>
      <c r="I31" s="28"/>
    </row>
    <row r="32" spans="1:9" ht="12.75">
      <c r="A32" s="36"/>
      <c r="B32" s="109">
        <v>2004</v>
      </c>
      <c r="C32" s="106">
        <f>'[14]Sheet1'!D63</f>
        <v>83182.18</v>
      </c>
      <c r="D32" s="106"/>
      <c r="E32" s="106"/>
      <c r="F32" s="106"/>
      <c r="G32" s="106"/>
      <c r="H32" s="28"/>
      <c r="I32" s="28"/>
    </row>
    <row r="33" spans="1:9" ht="12.75">
      <c r="A33" s="36"/>
      <c r="B33" s="109">
        <v>2003</v>
      </c>
      <c r="C33" s="106">
        <f>'[14]Sheet1'!D62</f>
        <v>158851.01</v>
      </c>
      <c r="D33" s="106"/>
      <c r="E33" s="106"/>
      <c r="F33" s="106"/>
      <c r="G33" s="106"/>
      <c r="H33" s="28"/>
      <c r="I33" s="28"/>
    </row>
    <row r="34" spans="1:9" ht="12.75">
      <c r="A34" s="36"/>
      <c r="B34" s="109">
        <v>2002</v>
      </c>
      <c r="C34" s="106">
        <f>'[14]Sheet1'!D61</f>
        <v>15611.66</v>
      </c>
      <c r="D34" s="106"/>
      <c r="E34" s="106"/>
      <c r="F34" s="106"/>
      <c r="G34" s="106"/>
      <c r="H34" s="28"/>
      <c r="I34" s="28"/>
    </row>
    <row r="35" spans="1:9" ht="12.75">
      <c r="A35" s="36"/>
      <c r="B35" s="109">
        <v>2001</v>
      </c>
      <c r="C35" s="106">
        <f>'[14]Sheet1'!D60</f>
        <v>201.84</v>
      </c>
      <c r="D35" s="106"/>
      <c r="E35" s="106"/>
      <c r="F35" s="106"/>
      <c r="G35" s="106"/>
      <c r="H35" s="28"/>
      <c r="I35" s="28"/>
    </row>
    <row r="36" spans="1:9" ht="12.75">
      <c r="A36" s="36"/>
      <c r="B36" s="109">
        <v>2000</v>
      </c>
      <c r="C36" s="106">
        <f>'[14]Sheet1'!D59</f>
        <v>11.64</v>
      </c>
      <c r="D36" s="106"/>
      <c r="E36" s="106"/>
      <c r="F36" s="106"/>
      <c r="G36" s="106"/>
      <c r="H36" s="28"/>
      <c r="I36" s="28"/>
    </row>
    <row r="37" spans="1:9" ht="12.75">
      <c r="A37" s="36"/>
      <c r="B37" s="109">
        <v>1999</v>
      </c>
      <c r="C37" s="106"/>
      <c r="D37" s="106"/>
      <c r="E37" s="106"/>
      <c r="F37" s="106"/>
      <c r="G37" s="106"/>
      <c r="H37" s="28"/>
      <c r="I37" s="28"/>
    </row>
    <row r="38" spans="1:9" ht="12.75">
      <c r="A38" s="36"/>
      <c r="B38" s="109">
        <v>1996</v>
      </c>
      <c r="C38" s="106">
        <f>'[14]Sheet1'!D58</f>
        <v>26193.3</v>
      </c>
      <c r="D38" s="106"/>
      <c r="E38" s="106"/>
      <c r="F38" s="106"/>
      <c r="G38" s="106"/>
      <c r="H38" s="28">
        <f>H39-C39</f>
        <v>6709778.84</v>
      </c>
      <c r="I38" s="28">
        <f>G39-I39</f>
        <v>-635430.0441666683</v>
      </c>
    </row>
    <row r="39" spans="1:10" ht="12.75">
      <c r="A39" s="36"/>
      <c r="B39" s="129" t="s">
        <v>161</v>
      </c>
      <c r="C39" s="130">
        <f>SUM(C27:C38)</f>
        <v>27003038.23</v>
      </c>
      <c r="D39" s="130"/>
      <c r="E39" s="130">
        <f>SUM(E27:E37)</f>
        <v>27003038.23</v>
      </c>
      <c r="F39" s="130"/>
      <c r="G39" s="130">
        <f>SUM(G27:G37)</f>
        <v>4937623.464833332</v>
      </c>
      <c r="H39" s="28">
        <f>'[3]存货大类表'!$D$4</f>
        <v>33712817.07</v>
      </c>
      <c r="I39" s="28">
        <f>'[3]存货大类表'!$C$4</f>
        <v>5573053.509000001</v>
      </c>
      <c r="J39">
        <f>G39/E39</f>
        <v>0.18285436708183828</v>
      </c>
    </row>
    <row r="40" spans="1:11" ht="12.75">
      <c r="A40" s="36" t="s">
        <v>282</v>
      </c>
      <c r="B40" s="109">
        <v>2008</v>
      </c>
      <c r="C40" s="106">
        <f>'[14]Sheet1'!D77</f>
        <v>5291307.99</v>
      </c>
      <c r="D40" s="106" t="s">
        <v>157</v>
      </c>
      <c r="E40" s="106">
        <f>'[14]Sheet1'!E78</f>
        <v>6212802.01</v>
      </c>
      <c r="F40" s="131">
        <v>0.005</v>
      </c>
      <c r="G40" s="106">
        <f>'[14]Sheet1'!I78</f>
        <v>31064.01005</v>
      </c>
      <c r="H40" s="28"/>
      <c r="I40" s="28"/>
      <c r="K40" s="134"/>
    </row>
    <row r="41" spans="1:11" ht="12.75">
      <c r="A41" s="36"/>
      <c r="B41" s="109">
        <v>2007</v>
      </c>
      <c r="C41" s="106">
        <f>'[14]Sheet1'!D76</f>
        <v>2764482.06</v>
      </c>
      <c r="D41" s="106" t="s">
        <v>158</v>
      </c>
      <c r="E41" s="106">
        <f>'[14]Sheet1'!F78</f>
        <v>2285149.15</v>
      </c>
      <c r="F41" s="131">
        <v>0.005</v>
      </c>
      <c r="G41" s="106">
        <f>'[14]Sheet1'!J78</f>
        <v>11425.74575</v>
      </c>
      <c r="H41" s="28"/>
      <c r="I41" s="28"/>
      <c r="K41" s="134"/>
    </row>
    <row r="42" spans="1:11" ht="12.75">
      <c r="A42" s="36"/>
      <c r="B42" s="109">
        <v>2006</v>
      </c>
      <c r="C42" s="106">
        <f>'[14]Sheet1'!D75</f>
        <v>1326483.33</v>
      </c>
      <c r="D42" s="106" t="s">
        <v>159</v>
      </c>
      <c r="E42" s="106">
        <f>'[14]Sheet1'!G78</f>
        <v>1074234.02</v>
      </c>
      <c r="F42" s="131">
        <v>0.005</v>
      </c>
      <c r="G42" s="106">
        <f>'[14]Sheet1'!K78</f>
        <v>5371.1701</v>
      </c>
      <c r="H42" s="28"/>
      <c r="I42" s="28"/>
      <c r="K42" s="134"/>
    </row>
    <row r="43" spans="1:11" ht="12.75">
      <c r="A43" s="36"/>
      <c r="B43" s="109">
        <v>2005</v>
      </c>
      <c r="C43" s="106">
        <f>'[14]Sheet1'!D74</f>
        <v>569735.4</v>
      </c>
      <c r="D43" s="106" t="s">
        <v>160</v>
      </c>
      <c r="E43" s="106">
        <f>'[14]Sheet1'!H78</f>
        <v>3469449.44</v>
      </c>
      <c r="F43" s="131">
        <v>0.005</v>
      </c>
      <c r="G43" s="106">
        <f>'[14]Sheet1'!L78</f>
        <v>17347.2472</v>
      </c>
      <c r="H43" s="28"/>
      <c r="I43" s="28"/>
      <c r="K43" s="134"/>
    </row>
    <row r="44" spans="2:7" ht="12.75">
      <c r="B44" s="109">
        <v>2004</v>
      </c>
      <c r="C44" s="106">
        <f>'[14]Sheet1'!D73</f>
        <v>1013207.85</v>
      </c>
      <c r="D44" s="106"/>
      <c r="E44" s="106"/>
      <c r="F44" s="106"/>
      <c r="G44" s="106"/>
    </row>
    <row r="45" spans="2:7" ht="12.75">
      <c r="B45" s="109">
        <v>2003</v>
      </c>
      <c r="C45" s="106">
        <f>'[14]Sheet1'!D72</f>
        <v>1898331.52</v>
      </c>
      <c r="D45" s="106"/>
      <c r="E45" s="106"/>
      <c r="F45" s="106"/>
      <c r="G45" s="106"/>
    </row>
    <row r="46" spans="2:7" ht="12.75">
      <c r="B46" s="109">
        <v>2002</v>
      </c>
      <c r="C46" s="106">
        <f>'[14]Sheet1'!D71</f>
        <v>132019.82</v>
      </c>
      <c r="D46" s="106"/>
      <c r="E46" s="106"/>
      <c r="F46" s="106"/>
      <c r="G46" s="106"/>
    </row>
    <row r="47" spans="2:7" ht="12.75">
      <c r="B47" s="109">
        <v>2000</v>
      </c>
      <c r="C47" s="106">
        <f>'[14]Sheet1'!D70</f>
        <v>1066.83</v>
      </c>
      <c r="D47" s="106"/>
      <c r="E47" s="106"/>
      <c r="F47" s="106"/>
      <c r="G47" s="106"/>
    </row>
    <row r="48" spans="2:9" ht="12.75">
      <c r="B48" s="109">
        <v>1999</v>
      </c>
      <c r="C48" s="106">
        <f>'[14]Sheet1'!D69</f>
        <v>44999.82</v>
      </c>
      <c r="D48" s="106"/>
      <c r="E48" s="106"/>
      <c r="F48" s="106"/>
      <c r="G48" s="106"/>
      <c r="H48" s="28">
        <f>H49-C49</f>
        <v>3521775.8099999987</v>
      </c>
      <c r="I48" s="28">
        <f>G49-I49</f>
        <v>-17608.766900000002</v>
      </c>
    </row>
    <row r="49" spans="2:10" ht="12.75">
      <c r="B49" s="129" t="s">
        <v>161</v>
      </c>
      <c r="C49" s="130">
        <f>SUM(C40:C48)</f>
        <v>13041634.620000001</v>
      </c>
      <c r="D49" s="130"/>
      <c r="E49" s="130">
        <f>SUM(E40:E48)</f>
        <v>13041634.62</v>
      </c>
      <c r="F49" s="130"/>
      <c r="G49" s="130">
        <f>SUM(G40:G48)</f>
        <v>65208.1731</v>
      </c>
      <c r="H49" s="28">
        <f>'[3]存货大类表'!$D$5</f>
        <v>16563410.43</v>
      </c>
      <c r="I49" s="28">
        <f>'[3]存货大类表'!$C$5</f>
        <v>82816.94</v>
      </c>
      <c r="J49">
        <f>G49/E49</f>
        <v>0.005</v>
      </c>
    </row>
    <row r="50" spans="1:11" ht="12.75">
      <c r="A50" s="36" t="s">
        <v>283</v>
      </c>
      <c r="B50" s="109">
        <v>2008</v>
      </c>
      <c r="C50" s="106">
        <f>SUM('[14]Sheet1'!D20,'[14]Sheet1'!D28,'[14]Sheet1'!D32,'[14]Sheet1'!D81,'[14]Sheet1'!D89,'[14]Sheet1'!D84)</f>
        <v>13872649.63000001</v>
      </c>
      <c r="D50" s="106" t="s">
        <v>157</v>
      </c>
      <c r="E50" s="106" t="e">
        <f>SUM('[14]Sheet1'!E22,'[14]Sheet1'!E24,'[14]Sheet1'!E26,'[14]Sheet1'!E30,'[14]Sheet1'!E34,'[14]Sheet1'!E83,'[14]Sheet1'!E85,'[14]Sheet1'!D89,'[14]Sheet1'!H85)</f>
        <v>#REF!</v>
      </c>
      <c r="F50" s="131">
        <v>0.005</v>
      </c>
      <c r="G50" s="106">
        <f>'[14]Sheet1'!I$22+'[14]Sheet1'!I$24+'[14]Sheet1'!I$26+'[14]Sheet1'!I$30+'[14]Sheet1'!I$34+'[14]Sheet1'!I$83+'[14]Sheet1'!I$85+'[14]Sheet1'!I89</f>
        <v>38368.35503333334</v>
      </c>
      <c r="K50" s="134"/>
    </row>
    <row r="51" spans="1:11" ht="12.75">
      <c r="A51" s="36"/>
      <c r="B51" s="109">
        <v>2007</v>
      </c>
      <c r="C51" s="106">
        <f>SUM('[14]Sheet1'!D19,'[14]Sheet1'!D27,'[14]Sheet1'!D31,'[14]Sheet1'!D80)</f>
        <v>3024626.15</v>
      </c>
      <c r="D51" s="106" t="s">
        <v>158</v>
      </c>
      <c r="E51" s="106" t="e">
        <f>SUM('[14]Sheet1'!F22,'[14]Sheet1'!F24,'[14]Sheet1'!F26,'[14]Sheet1'!F30,'[14]Sheet1'!F34,'[14]Sheet1'!F83,'[14]Sheet1'!F85)</f>
        <v>#REF!</v>
      </c>
      <c r="F51" s="131">
        <v>0.005</v>
      </c>
      <c r="G51" s="106">
        <f>'[14]Sheet1'!J$22+'[14]Sheet1'!J$24+'[14]Sheet1'!J$26+'[14]Sheet1'!J$30+'[14]Sheet1'!J$34+'[14]Sheet1'!J$83+'[14]Sheet1'!J$85</f>
        <v>10432.41606666665</v>
      </c>
      <c r="H51" s="29"/>
      <c r="I51" s="29"/>
      <c r="K51" s="134"/>
    </row>
    <row r="52" spans="1:11" ht="12.75">
      <c r="A52" s="36"/>
      <c r="B52" s="109">
        <v>2006</v>
      </c>
      <c r="C52" s="106">
        <f>SUM('[14]Sheet1'!D18,'[14]Sheet1'!D79)</f>
        <v>210197.34</v>
      </c>
      <c r="D52" s="106" t="s">
        <v>159</v>
      </c>
      <c r="E52" s="106" t="e">
        <f>SUM('[14]Sheet1'!G22,'[14]Sheet1'!G24,'[14]Sheet1'!G26,'[14]Sheet1'!G30,'[14]Sheet1'!G34,'[14]Sheet1'!G83,'[14]Sheet1'!G85)</f>
        <v>#REF!</v>
      </c>
      <c r="F52" s="131">
        <v>0.005</v>
      </c>
      <c r="G52" s="106">
        <f>'[14]Sheet1'!K$22+'[14]Sheet1'!K$24+'[14]Sheet1'!K$26+'[14]Sheet1'!K$30+'[14]Sheet1'!K$34+'[14]Sheet1'!K$83+'[14]Sheet1'!K$85</f>
        <v>700.6578000000001</v>
      </c>
      <c r="H52" s="30"/>
      <c r="I52" s="30"/>
      <c r="K52" s="134"/>
    </row>
    <row r="53" spans="1:11" ht="12.75">
      <c r="A53" s="36"/>
      <c r="B53" s="109">
        <v>2005</v>
      </c>
      <c r="C53" s="106"/>
      <c r="D53" s="106" t="s">
        <v>160</v>
      </c>
      <c r="E53" s="106">
        <f>SUM('[14]Sheet1'!H22,'[14]Sheet1'!H24,'[14]Sheet1'!H26,'[14]Sheet1'!H30,'[14]Sheet1'!H34,'[14]Sheet1'!H83)</f>
        <v>10466524.23</v>
      </c>
      <c r="F53" s="131">
        <v>0.005</v>
      </c>
      <c r="G53" s="106">
        <f>'[14]Sheet1'!L$22+'[14]Sheet1'!L$24+'[14]Sheet1'!L$26+'[14]Sheet1'!L$30+'[14]Sheet1'!L$34+'[14]Sheet1'!L$83+'[14]Sheet1'!L$85</f>
        <v>88368.55785</v>
      </c>
      <c r="H53" s="28"/>
      <c r="K53" s="134"/>
    </row>
    <row r="54" spans="1:9" ht="12.75">
      <c r="A54" s="36"/>
      <c r="B54" s="127" t="s">
        <v>281</v>
      </c>
      <c r="C54" s="106">
        <f>SUM('[14]Sheet1'!D21,'[14]Sheet1'!D23,'[14]Sheet1'!D25,'[14]Sheet1'!D29,'[14]Sheet1'!D33,'[14]Sheet1'!D82)</f>
        <v>10466524.23</v>
      </c>
      <c r="D54" s="106"/>
      <c r="E54" s="106"/>
      <c r="F54" s="131"/>
      <c r="G54" s="106"/>
      <c r="H54" s="28">
        <f>H55-C55</f>
        <v>-8703094.35999991</v>
      </c>
      <c r="I54" s="28">
        <f>G55-I55</f>
        <v>35423.329249999995</v>
      </c>
    </row>
    <row r="55" spans="1:9" ht="12.75">
      <c r="A55" s="31" t="s">
        <v>220</v>
      </c>
      <c r="B55" s="129" t="s">
        <v>161</v>
      </c>
      <c r="C55" s="130">
        <f>SUM(C50:C54)</f>
        <v>27573997.35000001</v>
      </c>
      <c r="D55" s="130"/>
      <c r="E55" s="130" t="e">
        <f>SUM(E50:E54)</f>
        <v>#REF!</v>
      </c>
      <c r="F55" s="130"/>
      <c r="G55" s="130">
        <f>SUM(G50:G54)</f>
        <v>137869.98674999998</v>
      </c>
      <c r="H55" s="132">
        <f>'[3]存货大类表'!$D$6</f>
        <v>18870902.9900001</v>
      </c>
      <c r="I55" s="132">
        <f>'[3]存货大类表'!$C$6</f>
        <v>102446.65749999999</v>
      </c>
    </row>
    <row r="56" spans="1:7" ht="12.75">
      <c r="A56" s="31" t="s">
        <v>284</v>
      </c>
      <c r="B56" s="129"/>
      <c r="C56" s="130">
        <f>C55+C49+C39+C26+C14</f>
        <v>604945418.2</v>
      </c>
      <c r="D56" s="130"/>
      <c r="E56" s="130" t="e">
        <f>E55+E49+E39+E26+E14</f>
        <v>#REF!</v>
      </c>
      <c r="F56" s="130"/>
      <c r="G56" s="130">
        <f>G55+G49+G39+G26+G14</f>
        <v>60337131.262883276</v>
      </c>
    </row>
    <row r="57" spans="1:3" ht="12.75">
      <c r="A57" s="75" t="s">
        <v>285</v>
      </c>
      <c r="C57" s="133">
        <f>-G56</f>
        <v>-60337131.262883276</v>
      </c>
    </row>
    <row r="58" spans="1:3" ht="12.75">
      <c r="A58" s="75" t="s">
        <v>286</v>
      </c>
      <c r="B58" s="75" t="s">
        <v>287</v>
      </c>
      <c r="C58" s="133">
        <f>-'[4]计提汇总表'!$J$25</f>
        <v>-720485.09</v>
      </c>
    </row>
    <row r="59" spans="1:7" ht="12.75">
      <c r="A59" s="75"/>
      <c r="B59" s="75" t="s">
        <v>288</v>
      </c>
      <c r="C59" s="133">
        <f>-('[5]存货跌价计提'!$F$9+'[5]存货跌价计提'!$F$10)</f>
        <v>-2244836.4499999997</v>
      </c>
      <c r="D59" s="75" t="s">
        <v>289</v>
      </c>
      <c r="E59" s="133">
        <v>-74305001.99</v>
      </c>
      <c r="F59" s="75" t="s">
        <v>290</v>
      </c>
      <c r="G59" s="133">
        <f>SUM(C57:C59)-E59</f>
        <v>11002549.187116712</v>
      </c>
    </row>
    <row r="60" spans="1:7" ht="12.75">
      <c r="A60" s="75" t="s">
        <v>291</v>
      </c>
      <c r="C60" s="133">
        <f>'[15]Sheet1'!$H$911</f>
        <v>13619139.1</v>
      </c>
      <c r="G60" s="75" t="s">
        <v>292</v>
      </c>
    </row>
    <row r="61" spans="1:3" ht="12.75">
      <c r="A61" s="75" t="s">
        <v>293</v>
      </c>
      <c r="C61" s="133">
        <v>-3097916.32</v>
      </c>
    </row>
    <row r="62" spans="1:3" ht="12.75">
      <c r="A62" s="75" t="s">
        <v>220</v>
      </c>
      <c r="C62" s="133">
        <f>SUM(C56:C61)</f>
        <v>552164188.1771166</v>
      </c>
    </row>
    <row r="63" spans="1:3" ht="12.75">
      <c r="A63" s="75" t="s">
        <v>193</v>
      </c>
      <c r="C63" s="133">
        <f>C62-'[10]资产负债表'!$B$28</f>
        <v>-0.002883315086364746</v>
      </c>
    </row>
    <row r="64" spans="1:3" ht="12.75">
      <c r="A64" s="75"/>
      <c r="C64" s="13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13"/>
    <pageSetUpPr fitToPage="1"/>
  </sheetPr>
  <dimension ref="B2:J85"/>
  <sheetViews>
    <sheetView showGridLines="0" workbookViewId="0" topLeftCell="A1">
      <selection activeCell="C42" sqref="C42"/>
    </sheetView>
  </sheetViews>
  <sheetFormatPr defaultColWidth="9.140625" defaultRowHeight="12.75"/>
  <cols>
    <col min="1" max="1" width="1.1484375" style="68" customWidth="1"/>
    <col min="2" max="2" width="14.140625" style="68" customWidth="1"/>
    <col min="3" max="3" width="20.421875" style="68" customWidth="1"/>
    <col min="4" max="4" width="15.140625" style="68" customWidth="1"/>
    <col min="5" max="5" width="21.7109375" style="68" customWidth="1"/>
    <col min="6" max="6" width="13.421875" style="68" customWidth="1"/>
    <col min="7" max="7" width="16.28125" style="68" customWidth="1"/>
    <col min="8" max="8" width="9.57421875" style="68" customWidth="1"/>
    <col min="9" max="9" width="11.7109375" style="68" customWidth="1"/>
    <col min="10" max="10" width="18.421875" style="68" customWidth="1"/>
    <col min="11" max="16384" width="9.140625" style="68" customWidth="1"/>
  </cols>
  <sheetData>
    <row r="1" ht="9" customHeight="1"/>
    <row r="2" spans="2:9" ht="15.75">
      <c r="B2" s="37" t="s">
        <v>0</v>
      </c>
      <c r="C2" s="321" t="s">
        <v>4</v>
      </c>
      <c r="D2" s="321"/>
      <c r="E2" s="321" t="s">
        <v>5</v>
      </c>
      <c r="F2" s="321"/>
      <c r="G2" s="321" t="s">
        <v>6</v>
      </c>
      <c r="H2" s="321"/>
      <c r="I2" s="34" t="s">
        <v>7</v>
      </c>
    </row>
    <row r="3" spans="2:9" ht="15">
      <c r="B3" s="38" t="s">
        <v>8</v>
      </c>
      <c r="C3" s="34" t="s">
        <v>9</v>
      </c>
      <c r="D3" s="34" t="s">
        <v>10</v>
      </c>
      <c r="E3" s="34" t="s">
        <v>11</v>
      </c>
      <c r="F3" s="34" t="s">
        <v>10</v>
      </c>
      <c r="G3" s="34" t="s">
        <v>12</v>
      </c>
      <c r="H3" s="34" t="s">
        <v>10</v>
      </c>
      <c r="I3" s="34"/>
    </row>
    <row r="4" spans="2:10" ht="15.75">
      <c r="B4" s="76" t="s">
        <v>13</v>
      </c>
      <c r="C4" s="40">
        <f>'[16]销售收入和成本底稿'!B17</f>
        <v>1970940941.67555</v>
      </c>
      <c r="D4" s="41">
        <f>C4/$C$7</f>
        <v>0.4631125210760664</v>
      </c>
      <c r="E4" s="50">
        <f>'[16]销售收入和成本底稿'!D17</f>
        <v>996331672.240066</v>
      </c>
      <c r="F4" s="41">
        <f>E4/$E$7</f>
        <v>0.4815693702049075</v>
      </c>
      <c r="G4" s="40">
        <f>C4-E4</f>
        <v>974609269.4354839</v>
      </c>
      <c r="H4" s="42">
        <f>G4/$G$7</f>
        <v>0.44565158354122064</v>
      </c>
      <c r="I4" s="41">
        <f>G4/C4</f>
        <v>0.49448933188578564</v>
      </c>
      <c r="J4" s="43"/>
    </row>
    <row r="5" spans="2:10" ht="15.75">
      <c r="B5" s="76" t="s">
        <v>14</v>
      </c>
      <c r="C5" s="40">
        <f>'[16]销售收入和成本底稿'!B18</f>
        <v>2025901789.57179</v>
      </c>
      <c r="D5" s="41">
        <f>C5/$C$7</f>
        <v>0.4760266862301311</v>
      </c>
      <c r="E5" s="50">
        <f>'[16]销售收入和成本底稿'!D18</f>
        <v>949719203.024691</v>
      </c>
      <c r="F5" s="41">
        <f>E5/$E$7</f>
        <v>0.45903958612881196</v>
      </c>
      <c r="G5" s="40">
        <f>C5-E5</f>
        <v>1076182586.547099</v>
      </c>
      <c r="H5" s="42">
        <f>G5/$G$7</f>
        <v>0.49209718080354214</v>
      </c>
      <c r="I5" s="41">
        <f>G5/C5</f>
        <v>0.5312116273783287</v>
      </c>
      <c r="J5" s="43"/>
    </row>
    <row r="6" spans="2:10" ht="15.75">
      <c r="B6" s="76" t="s">
        <v>15</v>
      </c>
      <c r="C6" s="40">
        <f>'[16]销售收入和成本底稿'!B19</f>
        <v>259014867.022654</v>
      </c>
      <c r="D6" s="41">
        <f>C6/$C$7</f>
        <v>0.06086079269380242</v>
      </c>
      <c r="E6" s="50">
        <f>'[16]销售收入和成本底稿'!D19</f>
        <v>122875709.115241</v>
      </c>
      <c r="F6" s="41">
        <f>E6/$E$7</f>
        <v>0.05939104366628048</v>
      </c>
      <c r="G6" s="40">
        <f>C6-E6</f>
        <v>136139157.907413</v>
      </c>
      <c r="H6" s="42">
        <f>G6/$G$7</f>
        <v>0.06225123565523722</v>
      </c>
      <c r="I6" s="41">
        <f>G6/C6</f>
        <v>0.5256036438074653</v>
      </c>
      <c r="J6" s="43"/>
    </row>
    <row r="7" spans="2:10" ht="15.75">
      <c r="B7" s="44" t="s">
        <v>195</v>
      </c>
      <c r="C7" s="40">
        <f>SUM(C4:C6)</f>
        <v>4255857598.2699943</v>
      </c>
      <c r="D7" s="42">
        <f>C7/$C$7</f>
        <v>1</v>
      </c>
      <c r="E7" s="40">
        <f>SUM(E4:E6)</f>
        <v>2068926584.3799982</v>
      </c>
      <c r="F7" s="42">
        <f>E7/$E$7</f>
        <v>1</v>
      </c>
      <c r="G7" s="40">
        <f>C7-E7</f>
        <v>2186931013.889996</v>
      </c>
      <c r="H7" s="42">
        <f>G7/$G$7</f>
        <v>1</v>
      </c>
      <c r="I7" s="41">
        <f>G7/C7</f>
        <v>0.5138637662075403</v>
      </c>
      <c r="J7" s="43"/>
    </row>
    <row r="8" spans="2:9" ht="15.75">
      <c r="B8" s="45"/>
      <c r="C8" s="46"/>
      <c r="D8" s="77"/>
      <c r="E8" s="46"/>
      <c r="F8" s="47"/>
      <c r="G8" s="46"/>
      <c r="H8" s="47"/>
      <c r="I8" s="47"/>
    </row>
    <row r="9" spans="2:9" ht="15.75">
      <c r="B9" s="45"/>
      <c r="C9" s="46">
        <f>'[16]销售收入和成本底稿'!B20</f>
        <v>4255857598.27</v>
      </c>
      <c r="D9" s="47"/>
      <c r="E9" s="46">
        <f>'[16]销售收入和成本底稿'!D20</f>
        <v>2068926584.37999</v>
      </c>
      <c r="F9" s="47"/>
      <c r="G9" s="46"/>
      <c r="H9" s="47"/>
      <c r="I9" s="47"/>
    </row>
    <row r="10" spans="2:9" ht="15">
      <c r="B10" s="48"/>
      <c r="C10" s="49">
        <f>C7-C9</f>
        <v>-5.7220458984375E-06</v>
      </c>
      <c r="D10" s="48"/>
      <c r="E10" s="49">
        <f>E7-E9</f>
        <v>8.106231689453125E-06</v>
      </c>
      <c r="F10" s="48"/>
      <c r="G10" s="48"/>
      <c r="H10" s="48"/>
      <c r="I10" s="48"/>
    </row>
    <row r="12" spans="2:9" ht="15.75">
      <c r="B12" s="37" t="s">
        <v>1</v>
      </c>
      <c r="C12" s="321" t="s">
        <v>92</v>
      </c>
      <c r="D12" s="321"/>
      <c r="E12" s="321" t="s">
        <v>93</v>
      </c>
      <c r="F12" s="321"/>
      <c r="G12" s="321" t="s">
        <v>94</v>
      </c>
      <c r="H12" s="321"/>
      <c r="I12" s="34" t="s">
        <v>95</v>
      </c>
    </row>
    <row r="13" spans="2:9" ht="15">
      <c r="B13" s="38" t="s">
        <v>89</v>
      </c>
      <c r="C13" s="34" t="s">
        <v>96</v>
      </c>
      <c r="D13" s="34" t="s">
        <v>97</v>
      </c>
      <c r="E13" s="34" t="s">
        <v>98</v>
      </c>
      <c r="F13" s="34" t="s">
        <v>97</v>
      </c>
      <c r="G13" s="34" t="s">
        <v>99</v>
      </c>
      <c r="H13" s="34" t="s">
        <v>97</v>
      </c>
      <c r="I13" s="34"/>
    </row>
    <row r="14" spans="2:9" ht="15.75">
      <c r="B14" s="39" t="str">
        <f>B4</f>
        <v>鞋</v>
      </c>
      <c r="C14" s="50">
        <f>'[16]销售收入和成本底稿'!B27</f>
        <v>1234605.85716772</v>
      </c>
      <c r="D14" s="51">
        <f>C14/$C$17</f>
        <v>0.15328951723642106</v>
      </c>
      <c r="E14" s="50">
        <f>'[16]销售收入和成本底稿'!D27</f>
        <v>595993.439221978</v>
      </c>
      <c r="F14" s="41">
        <f>E14/$E$17</f>
        <v>0.15311068348053716</v>
      </c>
      <c r="G14" s="40">
        <f>C14-E14</f>
        <v>638612.4179457421</v>
      </c>
      <c r="H14" s="42">
        <f>G14/$G$17</f>
        <v>0.15345679347011515</v>
      </c>
      <c r="I14" s="41">
        <f>G14/C14</f>
        <v>0.5172601557316177</v>
      </c>
    </row>
    <row r="15" spans="2:9" ht="15.75">
      <c r="B15" s="39" t="str">
        <f>B5</f>
        <v>服装</v>
      </c>
      <c r="C15" s="50">
        <f>'[16]销售收入和成本底稿'!B28</f>
        <v>6634081.99075818</v>
      </c>
      <c r="D15" s="51">
        <f>C15/$C$17</f>
        <v>0.823692208947626</v>
      </c>
      <c r="E15" s="50">
        <f>'[16]销售收入和成本底稿'!D28</f>
        <v>3240663.20546817</v>
      </c>
      <c r="F15" s="41">
        <f>E15/$E$17</f>
        <v>0.8325262086226716</v>
      </c>
      <c r="G15" s="40">
        <f>C15-E15</f>
        <v>3393418.78529001</v>
      </c>
      <c r="H15" s="42">
        <f>G15/$G$17</f>
        <v>0.815429125802094</v>
      </c>
      <c r="I15" s="41">
        <f>G15/C15</f>
        <v>0.5115129403009068</v>
      </c>
    </row>
    <row r="16" spans="2:9" ht="15.75">
      <c r="B16" s="39" t="str">
        <f>B6</f>
        <v>器材</v>
      </c>
      <c r="C16" s="50">
        <f>'[16]销售收入和成本底稿'!B29</f>
        <v>185390.9920744</v>
      </c>
      <c r="D16" s="51">
        <f>C16/$C$17</f>
        <v>0.023018273815953</v>
      </c>
      <c r="E16" s="50">
        <f>'[16]销售收入和成本底稿'!D29</f>
        <v>55909.345309749</v>
      </c>
      <c r="F16" s="41">
        <f>E16/$E$17</f>
        <v>0.014363107896791362</v>
      </c>
      <c r="G16" s="40">
        <f>C16-E16</f>
        <v>129481.64676465101</v>
      </c>
      <c r="H16" s="42">
        <f>G16/$G$17</f>
        <v>0.031114080727790726</v>
      </c>
      <c r="I16" s="41">
        <f>G16/C16</f>
        <v>0.6984246932164223</v>
      </c>
    </row>
    <row r="17" spans="2:9" ht="15.75">
      <c r="B17" s="44" t="s">
        <v>220</v>
      </c>
      <c r="C17" s="40">
        <f>SUM(C14:C16)</f>
        <v>8054078.8400003</v>
      </c>
      <c r="D17" s="41">
        <f>C17/$C$17</f>
        <v>1</v>
      </c>
      <c r="E17" s="40">
        <f>SUM(E14:E16)</f>
        <v>3892565.9899998964</v>
      </c>
      <c r="F17" s="41">
        <f>E17/$E$17</f>
        <v>1</v>
      </c>
      <c r="G17" s="40">
        <f>C17-E17</f>
        <v>4161512.8500004034</v>
      </c>
      <c r="H17" s="42">
        <f>G17/$G$17</f>
        <v>1</v>
      </c>
      <c r="I17" s="41">
        <f>G17/C17</f>
        <v>0.5166963140877633</v>
      </c>
    </row>
    <row r="18" spans="3:5" ht="12.75" customHeight="1">
      <c r="C18" s="69">
        <f>C17-'[16]销售收入和成本底稿'!B30</f>
        <v>0</v>
      </c>
      <c r="E18" s="70">
        <f>E17-'[16]销售收入和成本底稿'!D30</f>
        <v>-3.725290298461914E-09</v>
      </c>
    </row>
    <row r="22" spans="2:9" ht="15.75">
      <c r="B22" s="37" t="s">
        <v>2</v>
      </c>
      <c r="C22" s="321" t="s">
        <v>221</v>
      </c>
      <c r="D22" s="321"/>
      <c r="E22" s="321" t="s">
        <v>222</v>
      </c>
      <c r="F22" s="321"/>
      <c r="G22" s="321" t="s">
        <v>223</v>
      </c>
      <c r="H22" s="321"/>
      <c r="I22" s="34" t="s">
        <v>224</v>
      </c>
    </row>
    <row r="23" spans="2:9" ht="15">
      <c r="B23" s="38" t="s">
        <v>225</v>
      </c>
      <c r="C23" s="34" t="s">
        <v>226</v>
      </c>
      <c r="D23" s="34" t="s">
        <v>227</v>
      </c>
      <c r="E23" s="34" t="s">
        <v>228</v>
      </c>
      <c r="F23" s="34" t="s">
        <v>227</v>
      </c>
      <c r="G23" s="34" t="s">
        <v>229</v>
      </c>
      <c r="H23" s="34" t="s">
        <v>227</v>
      </c>
      <c r="I23" s="34"/>
    </row>
    <row r="24" spans="2:10" ht="15.75">
      <c r="B24" s="39" t="str">
        <f>B4</f>
        <v>鞋</v>
      </c>
      <c r="C24" s="50">
        <f>C4-C14-C33</f>
        <v>1945687325.4083822</v>
      </c>
      <c r="D24" s="51">
        <f>C24/$C$28</f>
        <v>0.4656503726480875</v>
      </c>
      <c r="E24" s="50">
        <f>E4-E14-E33</f>
        <v>980721972.534723</v>
      </c>
      <c r="F24" s="41">
        <f>E24/$E$28</f>
        <v>0.48465399626965416</v>
      </c>
      <c r="G24" s="40">
        <f>C24-E24</f>
        <v>964965352.8736591</v>
      </c>
      <c r="H24" s="42">
        <f>G24/$G$28</f>
        <v>0.44780491604474915</v>
      </c>
      <c r="I24" s="41">
        <f>G24/C24</f>
        <v>0.49595088597862025</v>
      </c>
      <c r="J24" s="70"/>
    </row>
    <row r="25" spans="2:10" ht="15.75">
      <c r="B25" s="39" t="str">
        <f>B5</f>
        <v>服装</v>
      </c>
      <c r="C25" s="50">
        <f>C5-C15-C34</f>
        <v>1976261631.961032</v>
      </c>
      <c r="D25" s="51">
        <f>C25/$C$28</f>
        <v>0.4729675489763601</v>
      </c>
      <c r="E25" s="50">
        <f>E5-E15-E34</f>
        <v>921307152.3125479</v>
      </c>
      <c r="F25" s="41">
        <f>E25/$E$28</f>
        <v>0.4552923312262</v>
      </c>
      <c r="G25" s="40">
        <f>C25-E25</f>
        <v>1054954479.648484</v>
      </c>
      <c r="H25" s="42">
        <f>G25/$G$28</f>
        <v>0.4895655587873459</v>
      </c>
      <c r="I25" s="41">
        <f>G25/C25</f>
        <v>0.5338131665298078</v>
      </c>
      <c r="J25" s="70"/>
    </row>
    <row r="26" spans="2:10" ht="15.75">
      <c r="B26" s="39" t="str">
        <f>B6</f>
        <v>器材</v>
      </c>
      <c r="C26" s="50">
        <f>C6-C16-C35</f>
        <v>256480696.5005796</v>
      </c>
      <c r="D26" s="51">
        <f>C26/$C$28</f>
        <v>0.06138207837555224</v>
      </c>
      <c r="E26" s="50">
        <f>E6-E16-E35</f>
        <v>121521655.88138758</v>
      </c>
      <c r="F26" s="41">
        <f>E26/$E$28</f>
        <v>0.06005367250414589</v>
      </c>
      <c r="G26" s="40">
        <f>C26-E26</f>
        <v>134959040.619192</v>
      </c>
      <c r="H26" s="42">
        <f>G26/$G$28</f>
        <v>0.062629525167905</v>
      </c>
      <c r="I26" s="41">
        <f>G26/C26</f>
        <v>0.526195703850512</v>
      </c>
      <c r="J26" s="70"/>
    </row>
    <row r="27" spans="2:9" ht="15.75">
      <c r="B27" s="39"/>
      <c r="C27" s="50"/>
      <c r="D27" s="51"/>
      <c r="E27" s="50"/>
      <c r="F27" s="41"/>
      <c r="G27" s="40"/>
      <c r="H27" s="42"/>
      <c r="I27" s="41"/>
    </row>
    <row r="28" spans="2:10" ht="15.75">
      <c r="B28" s="44" t="s">
        <v>220</v>
      </c>
      <c r="C28" s="40">
        <f>SUM(C24:C27)</f>
        <v>4178429653.869994</v>
      </c>
      <c r="D28" s="41">
        <f>C28/$C$28</f>
        <v>1</v>
      </c>
      <c r="E28" s="40">
        <f>SUM(E24:E27)</f>
        <v>2023550780.7286584</v>
      </c>
      <c r="F28" s="41">
        <f>E28/$E$28</f>
        <v>1</v>
      </c>
      <c r="G28" s="40">
        <f>SUM(G24:G27)</f>
        <v>2154878873.141335</v>
      </c>
      <c r="H28" s="42">
        <f>G28/$G$28</f>
        <v>1</v>
      </c>
      <c r="I28" s="41">
        <f>G28/C28</f>
        <v>0.5157150057906373</v>
      </c>
      <c r="J28" s="70"/>
    </row>
    <row r="30" spans="3:10" ht="15.75">
      <c r="C30" s="71"/>
      <c r="D30" s="72"/>
      <c r="E30" s="71"/>
      <c r="F30" s="72"/>
      <c r="G30" s="46"/>
      <c r="H30" s="72"/>
      <c r="I30" s="52"/>
      <c r="J30" s="70"/>
    </row>
    <row r="31" spans="2:9" s="148" customFormat="1" ht="15.75">
      <c r="B31" s="73" t="s">
        <v>3</v>
      </c>
      <c r="C31" s="319" t="s">
        <v>221</v>
      </c>
      <c r="D31" s="319"/>
      <c r="E31" s="319" t="s">
        <v>222</v>
      </c>
      <c r="F31" s="319"/>
      <c r="G31" s="319" t="s">
        <v>223</v>
      </c>
      <c r="H31" s="319"/>
      <c r="I31" s="74" t="s">
        <v>224</v>
      </c>
    </row>
    <row r="32" spans="2:9" s="148" customFormat="1" ht="15">
      <c r="B32" s="78" t="s">
        <v>225</v>
      </c>
      <c r="C32" s="74" t="s">
        <v>226</v>
      </c>
      <c r="D32" s="74" t="s">
        <v>227</v>
      </c>
      <c r="E32" s="74" t="s">
        <v>228</v>
      </c>
      <c r="F32" s="74" t="s">
        <v>227</v>
      </c>
      <c r="G32" s="74" t="s">
        <v>229</v>
      </c>
      <c r="H32" s="74" t="s">
        <v>227</v>
      </c>
      <c r="I32" s="74"/>
    </row>
    <row r="33" spans="2:9" s="148" customFormat="1" ht="15.75">
      <c r="B33" s="79" t="s">
        <v>230</v>
      </c>
      <c r="C33" s="50">
        <f>'[17]Sheet1'!$B$29</f>
        <v>24019010.41</v>
      </c>
      <c r="D33" s="51">
        <f>C33/$C$37</f>
        <v>0.34622563145521223</v>
      </c>
      <c r="E33" s="50">
        <f>'[17]Sheet1'!$F$29</f>
        <v>15013706.266121004</v>
      </c>
      <c r="F33" s="51">
        <f>E33/$E$37</f>
        <v>0.36192223925937866</v>
      </c>
      <c r="G33" s="50">
        <f>C33-E33</f>
        <v>9005304.143878996</v>
      </c>
      <c r="H33" s="80">
        <f>G33/$G$37</f>
        <v>0.3228792186608145</v>
      </c>
      <c r="I33" s="51">
        <f>G33/C33</f>
        <v>0.3749240285157525</v>
      </c>
    </row>
    <row r="34" spans="2:9" s="148" customFormat="1" ht="15.75">
      <c r="B34" s="79" t="s">
        <v>218</v>
      </c>
      <c r="C34" s="50">
        <f>'[17]Sheet1'!$B$28</f>
        <v>43006075.62</v>
      </c>
      <c r="D34" s="51">
        <f>C34/$C$37</f>
        <v>0.6199175333945453</v>
      </c>
      <c r="E34" s="50">
        <f>'[17]Sheet1'!$F$28</f>
        <v>25171387.50667488</v>
      </c>
      <c r="F34" s="51">
        <f>E34/$E$37</f>
        <v>0.6067845454149168</v>
      </c>
      <c r="G34" s="50">
        <f>C34-E34</f>
        <v>17834688.11332512</v>
      </c>
      <c r="H34" s="80">
        <f>G34/$G$37</f>
        <v>0.6394509359246696</v>
      </c>
      <c r="I34" s="51">
        <f>G34/C34</f>
        <v>0.41470159404712315</v>
      </c>
    </row>
    <row r="35" spans="2:9" s="148" customFormat="1" ht="15.75">
      <c r="B35" s="79" t="s">
        <v>219</v>
      </c>
      <c r="C35" s="50">
        <f>'[17]Sheet1'!$B$30</f>
        <v>2348779.53</v>
      </c>
      <c r="D35" s="51">
        <f>C35/$C$37</f>
        <v>0.03385683515024242</v>
      </c>
      <c r="E35" s="50">
        <f>'[17]Sheet1'!$F$30</f>
        <v>1298143.8885436757</v>
      </c>
      <c r="F35" s="51">
        <f>E35/$E$37</f>
        <v>0.03129321532570456</v>
      </c>
      <c r="G35" s="50">
        <f>C35-E35</f>
        <v>1050635.6414563241</v>
      </c>
      <c r="H35" s="80">
        <f>G35/$G$37</f>
        <v>0.037669845414515936</v>
      </c>
      <c r="I35" s="51">
        <f>G35/C35</f>
        <v>0.4473113070158289</v>
      </c>
    </row>
    <row r="36" spans="2:9" s="148" customFormat="1" ht="15.75">
      <c r="B36" s="79"/>
      <c r="C36" s="50"/>
      <c r="D36" s="51"/>
      <c r="E36" s="50"/>
      <c r="F36" s="51"/>
      <c r="G36" s="50"/>
      <c r="H36" s="80"/>
      <c r="I36" s="51"/>
    </row>
    <row r="37" spans="2:9" s="148" customFormat="1" ht="15.75">
      <c r="B37" s="44" t="s">
        <v>220</v>
      </c>
      <c r="C37" s="50">
        <f>SUM(C33:C36)</f>
        <v>69373865.56</v>
      </c>
      <c r="D37" s="51">
        <f>SUM(D33:D36)</f>
        <v>0.9999999999999999</v>
      </c>
      <c r="E37" s="50">
        <f>SUM(E33:E36)</f>
        <v>41483237.66133956</v>
      </c>
      <c r="F37" s="51">
        <f>SUM(F33:F35)</f>
        <v>1</v>
      </c>
      <c r="G37" s="50">
        <f>SUM(G33:G36)</f>
        <v>27890627.89866044</v>
      </c>
      <c r="H37" s="80">
        <f>SUM(H33:H35)</f>
        <v>1</v>
      </c>
      <c r="I37" s="51">
        <f>G37/C37</f>
        <v>0.4020336429795514</v>
      </c>
    </row>
    <row r="39" spans="2:9" s="148" customFormat="1" ht="15.75">
      <c r="B39" s="73" t="s">
        <v>299</v>
      </c>
      <c r="C39" s="319" t="s">
        <v>221</v>
      </c>
      <c r="D39" s="319"/>
      <c r="E39" s="319" t="s">
        <v>222</v>
      </c>
      <c r="F39" s="319"/>
      <c r="G39" s="319" t="s">
        <v>223</v>
      </c>
      <c r="H39" s="319"/>
      <c r="I39" s="74" t="s">
        <v>224</v>
      </c>
    </row>
    <row r="40" spans="2:9" s="148" customFormat="1" ht="15">
      <c r="B40" s="78" t="s">
        <v>225</v>
      </c>
      <c r="C40" s="74" t="s">
        <v>226</v>
      </c>
      <c r="D40" s="74" t="s">
        <v>227</v>
      </c>
      <c r="E40" s="74" t="s">
        <v>228</v>
      </c>
      <c r="F40" s="74" t="s">
        <v>227</v>
      </c>
      <c r="G40" s="74" t="s">
        <v>229</v>
      </c>
      <c r="H40" s="74" t="s">
        <v>227</v>
      </c>
      <c r="I40" s="74"/>
    </row>
    <row r="41" spans="2:9" s="148" customFormat="1" ht="15.75">
      <c r="B41" s="79" t="s">
        <v>230</v>
      </c>
      <c r="C41" s="50">
        <f>'[17]Sheet1'!$B$29</f>
        <v>24019010.41</v>
      </c>
      <c r="D41" s="51">
        <f>C41/$C$37</f>
        <v>0.34622563145521223</v>
      </c>
      <c r="E41" s="50">
        <f>'[17]Sheet1'!$F$29</f>
        <v>15013706.266121004</v>
      </c>
      <c r="F41" s="51">
        <f>E41/$E$37</f>
        <v>0.36192223925937866</v>
      </c>
      <c r="G41" s="50">
        <f>C41-E41</f>
        <v>9005304.143878996</v>
      </c>
      <c r="H41" s="80">
        <f>G41/$G$37</f>
        <v>0.3228792186608145</v>
      </c>
      <c r="I41" s="51">
        <f>G41/C41</f>
        <v>0.3749240285157525</v>
      </c>
    </row>
    <row r="42" spans="2:9" s="148" customFormat="1" ht="15.75">
      <c r="B42" s="79" t="s">
        <v>218</v>
      </c>
      <c r="C42" s="50">
        <f>'[17]Sheet1'!$B$28</f>
        <v>43006075.62</v>
      </c>
      <c r="D42" s="51">
        <f>C42/$C$37</f>
        <v>0.6199175333945453</v>
      </c>
      <c r="E42" s="50">
        <f>'[17]Sheet1'!$F$28</f>
        <v>25171387.50667488</v>
      </c>
      <c r="F42" s="51">
        <f>E42/$E$37</f>
        <v>0.6067845454149168</v>
      </c>
      <c r="G42" s="50">
        <f>C42-E42</f>
        <v>17834688.11332512</v>
      </c>
      <c r="H42" s="80">
        <f>G42/$G$37</f>
        <v>0.6394509359246696</v>
      </c>
      <c r="I42" s="51">
        <f>G42/C42</f>
        <v>0.41470159404712315</v>
      </c>
    </row>
    <row r="43" spans="2:9" s="148" customFormat="1" ht="15.75">
      <c r="B43" s="79" t="s">
        <v>219</v>
      </c>
      <c r="C43" s="50">
        <f>'[17]Sheet1'!$B$30</f>
        <v>2348779.53</v>
      </c>
      <c r="D43" s="51">
        <f>C43/$C$37</f>
        <v>0.03385683515024242</v>
      </c>
      <c r="E43" s="50">
        <f>'[17]Sheet1'!$F$30</f>
        <v>1298143.8885436757</v>
      </c>
      <c r="F43" s="51">
        <f>E43/$E$37</f>
        <v>0.03129321532570456</v>
      </c>
      <c r="G43" s="50">
        <f>C43-E43</f>
        <v>1050635.6414563241</v>
      </c>
      <c r="H43" s="80">
        <f>G43/$G$37</f>
        <v>0.037669845414515936</v>
      </c>
      <c r="I43" s="51">
        <f>G43/C43</f>
        <v>0.4473113070158289</v>
      </c>
    </row>
    <row r="44" spans="2:9" s="148" customFormat="1" ht="15.75">
      <c r="B44" s="79"/>
      <c r="C44" s="50"/>
      <c r="D44" s="51"/>
      <c r="E44" s="50"/>
      <c r="F44" s="51"/>
      <c r="G44" s="50"/>
      <c r="H44" s="80"/>
      <c r="I44" s="51"/>
    </row>
    <row r="45" spans="2:9" s="148" customFormat="1" ht="15.75">
      <c r="B45" s="44" t="s">
        <v>220</v>
      </c>
      <c r="C45" s="50">
        <f>SUM(C41:C44)</f>
        <v>69373865.56</v>
      </c>
      <c r="D45" s="51">
        <f>SUM(D41:D44)</f>
        <v>0.9999999999999999</v>
      </c>
      <c r="E45" s="50">
        <f>SUM(E41:E44)</f>
        <v>41483237.66133956</v>
      </c>
      <c r="F45" s="51">
        <f>SUM(F41:F43)</f>
        <v>1</v>
      </c>
      <c r="G45" s="50">
        <f>SUM(G41:G44)</f>
        <v>27890627.89866044</v>
      </c>
      <c r="H45" s="80">
        <f>SUM(H41:H43)</f>
        <v>1</v>
      </c>
      <c r="I45" s="51">
        <f>G45/C45</f>
        <v>0.4020336429795514</v>
      </c>
    </row>
    <row r="61" spans="2:9" s="54" customFormat="1" ht="12" hidden="1">
      <c r="B61" s="53" t="s">
        <v>16</v>
      </c>
      <c r="C61" s="320" t="s">
        <v>221</v>
      </c>
      <c r="D61" s="320"/>
      <c r="E61" s="320" t="s">
        <v>222</v>
      </c>
      <c r="F61" s="320"/>
      <c r="G61" s="320" t="s">
        <v>223</v>
      </c>
      <c r="H61" s="320"/>
      <c r="I61" s="33" t="s">
        <v>224</v>
      </c>
    </row>
    <row r="62" spans="2:9" s="54" customFormat="1" ht="11.25" hidden="1">
      <c r="B62" s="55" t="s">
        <v>225</v>
      </c>
      <c r="C62" s="33" t="s">
        <v>226</v>
      </c>
      <c r="D62" s="33" t="s">
        <v>227</v>
      </c>
      <c r="E62" s="33" t="s">
        <v>228</v>
      </c>
      <c r="F62" s="33" t="s">
        <v>227</v>
      </c>
      <c r="G62" s="33" t="s">
        <v>229</v>
      </c>
      <c r="H62" s="33" t="s">
        <v>227</v>
      </c>
      <c r="I62" s="33"/>
    </row>
    <row r="63" spans="2:9" s="54" customFormat="1" ht="13.5" hidden="1">
      <c r="B63" s="56" t="s">
        <v>230</v>
      </c>
      <c r="C63" s="57" t="e">
        <f>F71</f>
        <v>#REF!</v>
      </c>
      <c r="D63" s="58" t="e">
        <f>C63/$C$67</f>
        <v>#REF!</v>
      </c>
      <c r="E63" s="57" t="e">
        <f>I79</f>
        <v>#REF!</v>
      </c>
      <c r="F63" s="58" t="e">
        <f>E63/$E$67</f>
        <v>#REF!</v>
      </c>
      <c r="G63" s="59" t="e">
        <f>C63-E63</f>
        <v>#REF!</v>
      </c>
      <c r="H63" s="81" t="e">
        <f>G63/$G$67</f>
        <v>#REF!</v>
      </c>
      <c r="I63" s="58" t="e">
        <f>G63/C63</f>
        <v>#REF!</v>
      </c>
    </row>
    <row r="64" spans="2:9" s="54" customFormat="1" ht="13.5" hidden="1">
      <c r="B64" s="56" t="s">
        <v>218</v>
      </c>
      <c r="C64" s="57" t="e">
        <f>F72</f>
        <v>#REF!</v>
      </c>
      <c r="D64" s="58" t="e">
        <f>C64/$C$67</f>
        <v>#REF!</v>
      </c>
      <c r="E64" s="57" t="e">
        <f>I80</f>
        <v>#REF!</v>
      </c>
      <c r="F64" s="58" t="e">
        <f>E64/$E$67</f>
        <v>#REF!</v>
      </c>
      <c r="G64" s="59" t="e">
        <f>C64-E64</f>
        <v>#REF!</v>
      </c>
      <c r="H64" s="81" t="e">
        <f>G64/$G$67</f>
        <v>#REF!</v>
      </c>
      <c r="I64" s="58" t="e">
        <f>G64/C64</f>
        <v>#REF!</v>
      </c>
    </row>
    <row r="65" spans="2:9" s="54" customFormat="1" ht="13.5" hidden="1">
      <c r="B65" s="56" t="s">
        <v>219</v>
      </c>
      <c r="C65" s="57" t="e">
        <f>F73</f>
        <v>#REF!</v>
      </c>
      <c r="D65" s="58" t="e">
        <f>C65/$C$67</f>
        <v>#REF!</v>
      </c>
      <c r="E65" s="57" t="e">
        <f>I81</f>
        <v>#REF!</v>
      </c>
      <c r="F65" s="58" t="e">
        <f>E65/$E$67</f>
        <v>#REF!</v>
      </c>
      <c r="G65" s="59" t="e">
        <f>C65-E65</f>
        <v>#REF!</v>
      </c>
      <c r="H65" s="81" t="e">
        <f>G65/$G$67</f>
        <v>#REF!</v>
      </c>
      <c r="I65" s="58" t="e">
        <f>G65/C65</f>
        <v>#REF!</v>
      </c>
    </row>
    <row r="66" spans="2:9" s="54" customFormat="1" ht="13.5" hidden="1">
      <c r="B66" s="56"/>
      <c r="C66" s="57"/>
      <c r="D66" s="60"/>
      <c r="E66" s="57"/>
      <c r="F66" s="58"/>
      <c r="G66" s="59"/>
      <c r="H66" s="81"/>
      <c r="I66" s="58"/>
    </row>
    <row r="67" spans="2:9" s="54" customFormat="1" ht="13.5" hidden="1">
      <c r="B67" s="61" t="s">
        <v>220</v>
      </c>
      <c r="C67" s="59" t="e">
        <f aca="true" t="shared" si="0" ref="C67:H67">SUM(C63:C66)</f>
        <v>#REF!</v>
      </c>
      <c r="D67" s="58" t="e">
        <f t="shared" si="0"/>
        <v>#REF!</v>
      </c>
      <c r="E67" s="59" t="e">
        <f t="shared" si="0"/>
        <v>#REF!</v>
      </c>
      <c r="F67" s="58" t="e">
        <f t="shared" si="0"/>
        <v>#REF!</v>
      </c>
      <c r="G67" s="59" t="e">
        <f t="shared" si="0"/>
        <v>#REF!</v>
      </c>
      <c r="H67" s="81" t="e">
        <f t="shared" si="0"/>
        <v>#REF!</v>
      </c>
      <c r="I67" s="58" t="e">
        <f>G67/C67</f>
        <v>#REF!</v>
      </c>
    </row>
    <row r="68" spans="2:9" s="54" customFormat="1" ht="13.5" hidden="1">
      <c r="B68" s="82"/>
      <c r="C68" s="83"/>
      <c r="D68" s="84"/>
      <c r="E68" s="83"/>
      <c r="F68" s="84"/>
      <c r="G68" s="83"/>
      <c r="H68" s="85"/>
      <c r="I68" s="84"/>
    </row>
    <row r="69" s="54" customFormat="1" ht="10.5" hidden="1"/>
    <row r="70" spans="2:6" s="54" customFormat="1" ht="11.25" hidden="1">
      <c r="B70" s="62" t="s">
        <v>17</v>
      </c>
      <c r="C70" s="86" t="s">
        <v>18</v>
      </c>
      <c r="D70" s="86" t="s">
        <v>19</v>
      </c>
      <c r="E70" s="63" t="s">
        <v>20</v>
      </c>
      <c r="F70" s="86" t="s">
        <v>21</v>
      </c>
    </row>
    <row r="71" spans="2:6" s="54" customFormat="1" ht="11.25" hidden="1">
      <c r="B71" s="56" t="s">
        <v>230</v>
      </c>
      <c r="C71" s="64" t="e">
        <f>SUM('[1]收入成本统计'!K3:Z3)</f>
        <v>#REF!</v>
      </c>
      <c r="D71" s="64" t="e">
        <f>C71/SUM(C71:C73)*$C$74</f>
        <v>#REF!</v>
      </c>
      <c r="E71" s="64">
        <f>'[1]收入成本统计'!AK3</f>
        <v>-892505.2348435338</v>
      </c>
      <c r="F71" s="64" t="e">
        <f>SUM(C71:E71)</f>
        <v>#REF!</v>
      </c>
    </row>
    <row r="72" spans="2:6" s="54" customFormat="1" ht="11.25" hidden="1">
      <c r="B72" s="56" t="s">
        <v>218</v>
      </c>
      <c r="C72" s="64" t="e">
        <f>SUM('[1]收入成本统计'!K2:Z2)</f>
        <v>#REF!</v>
      </c>
      <c r="D72" s="64" t="e">
        <f>C72/SUM(C71:C73)*$C$74</f>
        <v>#REF!</v>
      </c>
      <c r="E72" s="64">
        <f>'[1]收入成本统计'!AK2</f>
        <v>-875086.3078457968</v>
      </c>
      <c r="F72" s="64" t="e">
        <f>SUM(C72:E72)</f>
        <v>#REF!</v>
      </c>
    </row>
    <row r="73" spans="2:6" s="54" customFormat="1" ht="11.25" hidden="1">
      <c r="B73" s="56" t="s">
        <v>219</v>
      </c>
      <c r="C73" s="64" t="e">
        <f>SUM('[1]收入成本统计'!K4:Z4)</f>
        <v>#REF!</v>
      </c>
      <c r="D73" s="64" t="e">
        <f>C73/SUM(C71:C73)*$C$74</f>
        <v>#REF!</v>
      </c>
      <c r="E73" s="64">
        <f>'[1]收入成本统计'!AK4</f>
        <v>-100040.26730941996</v>
      </c>
      <c r="F73" s="64" t="e">
        <f>SUM(C73:E73)</f>
        <v>#REF!</v>
      </c>
    </row>
    <row r="74" spans="2:6" s="54" customFormat="1" ht="11.25" hidden="1">
      <c r="B74" s="66" t="s">
        <v>22</v>
      </c>
      <c r="C74" s="64" t="e">
        <f>SUM('[1]收入成本统计'!K5:Z5)</f>
        <v>#REF!</v>
      </c>
      <c r="D74" s="64"/>
      <c r="E74" s="64"/>
      <c r="F74" s="62"/>
    </row>
    <row r="75" spans="2:8" s="54" customFormat="1" ht="11.25" hidden="1">
      <c r="B75" s="66" t="s">
        <v>231</v>
      </c>
      <c r="C75" s="64" t="e">
        <f>SUM(C71:C74)</f>
        <v>#REF!</v>
      </c>
      <c r="D75" s="64" t="e">
        <f>SUM(D71:D74)</f>
        <v>#REF!</v>
      </c>
      <c r="E75" s="64">
        <f>SUM(E71:E74)</f>
        <v>-1867631.8099987507</v>
      </c>
      <c r="F75" s="64" t="e">
        <f>SUM(F71:F74)</f>
        <v>#REF!</v>
      </c>
      <c r="G75" s="87" t="e">
        <f>F75/C7</f>
        <v>#REF!</v>
      </c>
      <c r="H75" s="91"/>
    </row>
    <row r="76" spans="2:5" s="94" customFormat="1" ht="11.25" hidden="1">
      <c r="B76" s="92" t="s">
        <v>193</v>
      </c>
      <c r="C76" s="93" t="e">
        <f>C75-SUM('[1]收入成本统计'!K6:Z6)</f>
        <v>#REF!</v>
      </c>
      <c r="D76" s="93"/>
      <c r="E76" s="93">
        <f>E75-'[1]收入成本统计'!AK6</f>
        <v>0</v>
      </c>
    </row>
    <row r="77" s="54" customFormat="1" ht="11.25" hidden="1">
      <c r="B77" s="95"/>
    </row>
    <row r="78" spans="2:9" s="54" customFormat="1" ht="11.25" hidden="1">
      <c r="B78" s="62" t="s">
        <v>23</v>
      </c>
      <c r="C78" s="86" t="s">
        <v>18</v>
      </c>
      <c r="D78" s="63" t="s">
        <v>24</v>
      </c>
      <c r="E78" s="63" t="s">
        <v>25</v>
      </c>
      <c r="F78" s="63" t="s">
        <v>26</v>
      </c>
      <c r="G78" s="63" t="s">
        <v>27</v>
      </c>
      <c r="H78" s="63" t="s">
        <v>20</v>
      </c>
      <c r="I78" s="62" t="s">
        <v>28</v>
      </c>
    </row>
    <row r="79" spans="2:9" s="54" customFormat="1" ht="11.25" hidden="1">
      <c r="B79" s="56" t="s">
        <v>230</v>
      </c>
      <c r="C79" s="64" t="e">
        <f>SUM('[1]收入成本统计'!K11:Z11)</f>
        <v>#REF!</v>
      </c>
      <c r="D79" s="65" t="e">
        <f>'[1]内含毛利计算'!$N$23</f>
        <v>#REF!</v>
      </c>
      <c r="E79" s="64" t="e">
        <f>C79*D79</f>
        <v>#REF!</v>
      </c>
      <c r="F79" s="64" t="e">
        <f>C79-E79</f>
        <v>#REF!</v>
      </c>
      <c r="G79" s="64" t="e">
        <f>F79/SUM(F79:F81)*$F$82</f>
        <v>#REF!</v>
      </c>
      <c r="H79" s="64">
        <f>'[1]收入成本统计'!AN12</f>
        <v>-927719.1905122615</v>
      </c>
      <c r="I79" s="64" t="e">
        <f>SUM(F79:H79)</f>
        <v>#REF!</v>
      </c>
    </row>
    <row r="80" spans="2:9" s="54" customFormat="1" ht="11.25" hidden="1">
      <c r="B80" s="56" t="s">
        <v>218</v>
      </c>
      <c r="C80" s="64" t="e">
        <f>SUM('[1]收入成本统计'!K12:Z12)</f>
        <v>#REF!</v>
      </c>
      <c r="D80" s="65" t="e">
        <f>'[1]内含毛利计算'!$N$24</f>
        <v>#REF!</v>
      </c>
      <c r="E80" s="64" t="e">
        <f>C80*D80</f>
        <v>#REF!</v>
      </c>
      <c r="F80" s="64" t="e">
        <f>C80-E80</f>
        <v>#REF!</v>
      </c>
      <c r="G80" s="64" t="e">
        <f>F80/SUM(F79:F81)*$F$82</f>
        <v>#REF!</v>
      </c>
      <c r="H80" s="64">
        <f>'[1]收入成本统计'!AN11</f>
        <v>-853708.2284996661</v>
      </c>
      <c r="I80" s="64" t="e">
        <f>SUM(F80:H80)</f>
        <v>#REF!</v>
      </c>
    </row>
    <row r="81" spans="2:9" s="54" customFormat="1" ht="11.25" hidden="1">
      <c r="B81" s="56" t="s">
        <v>219</v>
      </c>
      <c r="C81" s="64" t="e">
        <f>SUM('[1]收入成本统计'!K13:Z13)</f>
        <v>#REF!</v>
      </c>
      <c r="D81" s="65" t="e">
        <f>'[1]内含毛利计算'!$N$25</f>
        <v>#REF!</v>
      </c>
      <c r="E81" s="64" t="e">
        <f>C81*D81</f>
        <v>#REF!</v>
      </c>
      <c r="F81" s="64" t="e">
        <f>C81-E81</f>
        <v>#REF!</v>
      </c>
      <c r="G81" s="64" t="e">
        <f>F81/SUM(F79:F81)*$F$82</f>
        <v>#REF!</v>
      </c>
      <c r="H81" s="64">
        <f>'[1]收入成本统计'!AN13</f>
        <v>-86204.38902165815</v>
      </c>
      <c r="I81" s="64" t="e">
        <f>SUM(F81:H81)</f>
        <v>#REF!</v>
      </c>
    </row>
    <row r="82" spans="2:9" s="54" customFormat="1" ht="11.25" hidden="1">
      <c r="B82" s="66" t="s">
        <v>22</v>
      </c>
      <c r="C82" s="64" t="e">
        <f>SUM('[1]收入成本统计'!K14:Z14)</f>
        <v>#REF!</v>
      </c>
      <c r="D82" s="65" t="e">
        <f>'[1]内含毛利计算'!$N$26</f>
        <v>#REF!</v>
      </c>
      <c r="E82" s="64" t="e">
        <f>C82*D82</f>
        <v>#REF!</v>
      </c>
      <c r="F82" s="64" t="e">
        <f>C82-E82</f>
        <v>#REF!</v>
      </c>
      <c r="G82" s="64"/>
      <c r="H82" s="62"/>
      <c r="I82" s="64"/>
    </row>
    <row r="83" spans="2:9" s="54" customFormat="1" ht="11.25" hidden="1">
      <c r="B83" s="66" t="s">
        <v>231</v>
      </c>
      <c r="C83" s="64" t="e">
        <f>SUM(C79:C82)</f>
        <v>#REF!</v>
      </c>
      <c r="D83" s="64"/>
      <c r="E83" s="64" t="e">
        <f>SUM(E79:E82)</f>
        <v>#REF!</v>
      </c>
      <c r="F83" s="64" t="e">
        <f>SUM(F79:F82)</f>
        <v>#REF!</v>
      </c>
      <c r="G83" s="64" t="e">
        <f>SUM(G79:G82)</f>
        <v>#REF!</v>
      </c>
      <c r="H83" s="64">
        <f>SUM(H79:H82)</f>
        <v>-1867631.8080335858</v>
      </c>
      <c r="I83" s="64" t="e">
        <f>SUM(I79:I82)</f>
        <v>#REF!</v>
      </c>
    </row>
    <row r="84" spans="2:5" s="94" customFormat="1" ht="11.25" hidden="1">
      <c r="B84" s="92" t="s">
        <v>193</v>
      </c>
      <c r="C84" s="96" t="e">
        <f>C83-SUM('[1]收入成本统计'!K15:Z15)</f>
        <v>#REF!</v>
      </c>
      <c r="D84" s="96"/>
      <c r="E84" s="96"/>
    </row>
    <row r="85" spans="5:8" s="54" customFormat="1" ht="10.5" hidden="1">
      <c r="E85" s="97"/>
      <c r="H85" s="97"/>
    </row>
    <row r="86" s="98" customFormat="1" ht="11.25" hidden="1"/>
  </sheetData>
  <mergeCells count="18">
    <mergeCell ref="C2:D2"/>
    <mergeCell ref="E2:F2"/>
    <mergeCell ref="G2:H2"/>
    <mergeCell ref="C12:D12"/>
    <mergeCell ref="E12:F12"/>
    <mergeCell ref="G12:H12"/>
    <mergeCell ref="C22:D22"/>
    <mergeCell ref="E22:F22"/>
    <mergeCell ref="G22:H22"/>
    <mergeCell ref="C31:D31"/>
    <mergeCell ref="E31:F31"/>
    <mergeCell ref="G31:H31"/>
    <mergeCell ref="E39:F39"/>
    <mergeCell ref="G39:H39"/>
    <mergeCell ref="C61:D61"/>
    <mergeCell ref="E61:F61"/>
    <mergeCell ref="G61:H61"/>
    <mergeCell ref="C39:D39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chenlei1</dc:creator>
  <cp:keywords/>
  <dc:description/>
  <cp:lastModifiedBy>liguo</cp:lastModifiedBy>
  <cp:lastPrinted>2008-07-09T06:07:29Z</cp:lastPrinted>
  <dcterms:created xsi:type="dcterms:W3CDTF">2008-04-18T06:30:30Z</dcterms:created>
  <dcterms:modified xsi:type="dcterms:W3CDTF">2012-03-30T06:08:19Z</dcterms:modified>
  <cp:category/>
  <cp:version/>
  <cp:contentType/>
  <cp:contentStatus/>
</cp:coreProperties>
</file>